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Users/sooky/Documents/"/>
    </mc:Choice>
  </mc:AlternateContent>
  <xr:revisionPtr revIDLastSave="0" documentId="13_ncr:1_{0AB5130C-5259-1E41-8FF1-42572606D1DB}" xr6:coauthVersionLast="36" xr6:coauthVersionMax="36" xr10:uidLastSave="{00000000-0000-0000-0000-000000000000}"/>
  <bookViews>
    <workbookView xWindow="840" yWindow="1700" windowWidth="28800" windowHeight="16180" tabRatio="601" xr2:uid="{00000000-000D-0000-FFFF-FFFF00000000}"/>
  </bookViews>
  <sheets>
    <sheet name="Chiffres utiles 2013-2019" sheetId="1" r:id="rId1"/>
    <sheet name="Volontariat - montants" sheetId="2" r:id="rId2"/>
    <sheet name="Frais parcours fonctionnaires" sheetId="5" r:id="rId3"/>
    <sheet name="Frais de mission CP 329.02" sheetId="4" r:id="rId4"/>
    <sheet name="Plafond déplacemt dom-trav .03" sheetId="6" r:id="rId5"/>
    <sheet name="RMMG SCP 329.03" sheetId="7" r:id="rId6"/>
    <sheet name="Indices pivot" sheetId="3" r:id="rId7"/>
    <sheet name="health index" sheetId="8" r:id="rId8"/>
  </sheets>
  <definedNames>
    <definedName name="_ftn1" localSheetId="0">'Chiffres utiles 2013-2019'!#REF!</definedName>
    <definedName name="_ftnref1" localSheetId="0">'Chiffres utiles 2013-2019'!$J$33</definedName>
    <definedName name="a">#REF!</definedName>
    <definedName name="Frais_mission_329.02_auto">'Frais de mission CP 329.02'!$A$12:$C$23</definedName>
    <definedName name="Frais_mission_329.02_cyclo">'Frais de mission CP 329.02'!$E$12:$F$23</definedName>
    <definedName name="Frais_parcours_fonctionnaires">'Frais parcours fonctionnaires'!$A$9:$E$28</definedName>
    <definedName name="_xlnm.Print_Titles" localSheetId="0">'Chiffres utiles 2013-2019'!$2:$2</definedName>
    <definedName name="Index_novembre_x_1">'Frais de mission CP 329.02'!$C$12:$C$22</definedName>
    <definedName name="Plafond_dom_trav_329.03">'Plafond déplacemt dom-trav .03'!$A$8:$C$34</definedName>
    <definedName name="RMMMG_329.03">'RMMG SCP 329.03'!$A$6:$D$16</definedName>
    <definedName name="Volontariat">'Volontariat - montants'!$A$2:$D$16</definedName>
    <definedName name="_xlnm.Print_Area" localSheetId="7">'health index'!$A$1:$L$441</definedName>
  </definedNames>
  <calcPr calcId="162913" concurrentCalc="0"/>
</workbook>
</file>

<file path=xl/calcChain.xml><?xml version="1.0" encoding="utf-8"?>
<calcChain xmlns="http://schemas.openxmlformats.org/spreadsheetml/2006/main">
  <c r="J6" i="4" l="1"/>
  <c r="G274" i="8"/>
  <c r="G275" i="8"/>
  <c r="G276" i="8"/>
  <c r="G277" i="8"/>
  <c r="L3" i="4"/>
  <c r="B23" i="4"/>
  <c r="R12" i="1"/>
  <c r="F24" i="4"/>
  <c r="B24" i="4"/>
  <c r="F23" i="4"/>
  <c r="P448" i="8"/>
  <c r="P447" i="8"/>
  <c r="P445" i="8"/>
  <c r="O445" i="8"/>
  <c r="M445" i="8"/>
  <c r="P439" i="8"/>
  <c r="P440" i="8"/>
  <c r="P446" i="8"/>
  <c r="F440" i="8"/>
  <c r="E440" i="8"/>
  <c r="D440" i="8"/>
  <c r="P456" i="8"/>
  <c r="P455" i="8"/>
  <c r="P454" i="8"/>
  <c r="P453" i="8"/>
  <c r="P452" i="8"/>
  <c r="P451" i="8"/>
  <c r="P450" i="8"/>
  <c r="P449" i="8"/>
  <c r="P429" i="8"/>
  <c r="P457" i="8"/>
  <c r="O446" i="8"/>
  <c r="O447" i="8"/>
  <c r="O448" i="8"/>
  <c r="O449" i="8"/>
  <c r="O450" i="8"/>
  <c r="O451" i="8"/>
  <c r="O452" i="8"/>
  <c r="O453" i="8"/>
  <c r="O454" i="8"/>
  <c r="O455" i="8"/>
  <c r="O456" i="8"/>
  <c r="O457" i="8"/>
  <c r="N445" i="8"/>
  <c r="N446" i="8"/>
  <c r="N447" i="8"/>
  <c r="N448" i="8"/>
  <c r="N449" i="8"/>
  <c r="N450" i="8"/>
  <c r="N451" i="8"/>
  <c r="N452" i="8"/>
  <c r="N453" i="8"/>
  <c r="N454" i="8"/>
  <c r="N455" i="8"/>
  <c r="N456" i="8"/>
  <c r="N457" i="8"/>
  <c r="M446" i="8"/>
  <c r="M447" i="8"/>
  <c r="M448" i="8"/>
  <c r="M449" i="8"/>
  <c r="M450" i="8"/>
  <c r="M451" i="8"/>
  <c r="M452" i="8"/>
  <c r="M453" i="8"/>
  <c r="M454" i="8"/>
  <c r="M455" i="8"/>
  <c r="M456" i="8"/>
  <c r="M457" i="8"/>
  <c r="G457" i="8"/>
  <c r="F445" i="8"/>
  <c r="F446" i="8"/>
  <c r="F447" i="8"/>
  <c r="F448" i="8"/>
  <c r="F449" i="8"/>
  <c r="F450" i="8"/>
  <c r="F451" i="8"/>
  <c r="F452" i="8"/>
  <c r="F453" i="8"/>
  <c r="F454" i="8"/>
  <c r="F455" i="8"/>
  <c r="F457" i="8"/>
  <c r="E445" i="8"/>
  <c r="E446" i="8"/>
  <c r="E447" i="8"/>
  <c r="E448" i="8"/>
  <c r="E449" i="8"/>
  <c r="E450" i="8"/>
  <c r="E451" i="8"/>
  <c r="E452" i="8"/>
  <c r="E453" i="8"/>
  <c r="E454" i="8"/>
  <c r="E455" i="8"/>
  <c r="E457" i="8"/>
  <c r="D445" i="8"/>
  <c r="D446" i="8"/>
  <c r="D447" i="8"/>
  <c r="D448" i="8"/>
  <c r="D449" i="8"/>
  <c r="D450" i="8"/>
  <c r="D451" i="8"/>
  <c r="D452" i="8"/>
  <c r="D453" i="8"/>
  <c r="D454" i="8"/>
  <c r="D455" i="8"/>
  <c r="D457" i="8"/>
  <c r="X28" i="1"/>
  <c r="D7" i="7"/>
  <c r="D8" i="7"/>
  <c r="D9" i="7"/>
  <c r="D10" i="7"/>
  <c r="D14" i="7"/>
  <c r="D15" i="7"/>
  <c r="D16" i="7"/>
  <c r="T28" i="1"/>
  <c r="B8" i="6"/>
  <c r="B9" i="6"/>
  <c r="B10" i="6"/>
  <c r="B11" i="6"/>
  <c r="B12" i="6"/>
  <c r="C12" i="6"/>
  <c r="C13" i="6"/>
  <c r="C14" i="6"/>
  <c r="C15" i="6"/>
  <c r="C16" i="6"/>
  <c r="C17" i="6"/>
  <c r="C18" i="6"/>
  <c r="C19" i="6"/>
  <c r="C20" i="6"/>
  <c r="C21" i="6"/>
  <c r="C22" i="6"/>
  <c r="C23" i="6"/>
  <c r="C24" i="6"/>
  <c r="C25" i="6"/>
  <c r="C26" i="6"/>
  <c r="T24" i="1"/>
  <c r="F439" i="8"/>
  <c r="E439" i="8"/>
  <c r="D439" i="8"/>
  <c r="F438" i="8"/>
  <c r="E438" i="8"/>
  <c r="D438" i="8"/>
  <c r="F437" i="8"/>
  <c r="E437" i="8"/>
  <c r="D437" i="8"/>
  <c r="F436" i="8"/>
  <c r="E436" i="8"/>
  <c r="D436" i="8"/>
  <c r="F435" i="8"/>
  <c r="E435" i="8"/>
  <c r="D435" i="8"/>
  <c r="F434" i="8"/>
  <c r="E434" i="8"/>
  <c r="D434" i="8"/>
  <c r="F433" i="8"/>
  <c r="E433" i="8"/>
  <c r="D433" i="8"/>
  <c r="R28" i="1"/>
  <c r="R24" i="1"/>
  <c r="B14" i="2"/>
  <c r="R13" i="1"/>
  <c r="B22" i="4"/>
  <c r="O12" i="1"/>
  <c r="Q11" i="1"/>
  <c r="Q28" i="1"/>
  <c r="P28" i="1"/>
  <c r="Q24" i="1"/>
  <c r="P24" i="1"/>
  <c r="O28" i="1"/>
  <c r="P11" i="1"/>
  <c r="O11" i="1"/>
  <c r="C6" i="3"/>
  <c r="C7" i="3"/>
  <c r="C8" i="3"/>
  <c r="D8" i="3"/>
  <c r="D10" i="3"/>
  <c r="D11" i="3"/>
  <c r="D12" i="3"/>
  <c r="D13" i="3"/>
  <c r="D14" i="3"/>
  <c r="D15" i="3"/>
  <c r="D16" i="3"/>
  <c r="D17" i="3"/>
  <c r="D19" i="3"/>
  <c r="E19" i="3"/>
  <c r="E20" i="3"/>
  <c r="E21" i="3"/>
  <c r="D20" i="3"/>
  <c r="P436" i="8"/>
  <c r="O436" i="8"/>
  <c r="M436" i="8"/>
  <c r="P437" i="8"/>
  <c r="O437" i="8"/>
  <c r="M437" i="8"/>
  <c r="P438" i="8"/>
  <c r="O438" i="8"/>
  <c r="M438" i="8"/>
  <c r="O439" i="8"/>
  <c r="M439" i="8"/>
  <c r="O440" i="8"/>
  <c r="M440" i="8"/>
  <c r="C27" i="7"/>
  <c r="E22" i="3"/>
  <c r="E23" i="3"/>
  <c r="E24" i="3"/>
  <c r="E25" i="3"/>
  <c r="E26" i="3"/>
  <c r="E27" i="3"/>
  <c r="E28" i="3"/>
  <c r="E29" i="3"/>
  <c r="C11" i="3"/>
  <c r="C12" i="3"/>
  <c r="C13" i="3"/>
  <c r="C14" i="3"/>
  <c r="C15" i="3"/>
  <c r="C16" i="3"/>
  <c r="C17" i="3"/>
  <c r="C10" i="3"/>
  <c r="P433" i="8"/>
  <c r="P434" i="8"/>
  <c r="P435" i="8"/>
  <c r="P432" i="8"/>
  <c r="P431" i="8"/>
  <c r="P430" i="8"/>
  <c r="P441" i="8"/>
  <c r="O429" i="8"/>
  <c r="O430" i="8"/>
  <c r="O431" i="8"/>
  <c r="O432" i="8"/>
  <c r="O433" i="8"/>
  <c r="O434" i="8"/>
  <c r="O435" i="8"/>
  <c r="O441" i="8"/>
  <c r="N429" i="8"/>
  <c r="N430" i="8"/>
  <c r="N431" i="8"/>
  <c r="N432" i="8"/>
  <c r="N433" i="8"/>
  <c r="N434" i="8"/>
  <c r="N435" i="8"/>
  <c r="N436" i="8"/>
  <c r="N437" i="8"/>
  <c r="N438" i="8"/>
  <c r="N439" i="8"/>
  <c r="N440" i="8"/>
  <c r="N441" i="8"/>
  <c r="M429" i="8"/>
  <c r="M430" i="8"/>
  <c r="M431" i="8"/>
  <c r="M432" i="8"/>
  <c r="M433" i="8"/>
  <c r="M434" i="8"/>
  <c r="M435" i="8"/>
  <c r="M441" i="8"/>
  <c r="P417" i="8"/>
  <c r="P418" i="8"/>
  <c r="P419" i="8"/>
  <c r="P420" i="8"/>
  <c r="P421" i="8"/>
  <c r="P422" i="8"/>
  <c r="P416" i="8"/>
  <c r="P423" i="8"/>
  <c r="O411" i="8"/>
  <c r="O412" i="8"/>
  <c r="O413" i="8"/>
  <c r="O414" i="8"/>
  <c r="O415" i="8"/>
  <c r="O416" i="8"/>
  <c r="O417" i="8"/>
  <c r="O418" i="8"/>
  <c r="O419" i="8"/>
  <c r="O420" i="8"/>
  <c r="O421" i="8"/>
  <c r="O422" i="8"/>
  <c r="O423" i="8"/>
  <c r="N411" i="8"/>
  <c r="N412" i="8"/>
  <c r="N413" i="8"/>
  <c r="N414" i="8"/>
  <c r="N415" i="8"/>
  <c r="N416" i="8"/>
  <c r="N417" i="8"/>
  <c r="N418" i="8"/>
  <c r="N419" i="8"/>
  <c r="N420" i="8"/>
  <c r="N421" i="8"/>
  <c r="N422" i="8"/>
  <c r="N423" i="8"/>
  <c r="M411" i="8"/>
  <c r="M412" i="8"/>
  <c r="M413" i="8"/>
  <c r="M414" i="8"/>
  <c r="M415" i="8"/>
  <c r="M416" i="8"/>
  <c r="M417" i="8"/>
  <c r="M418" i="8"/>
  <c r="M419" i="8"/>
  <c r="M420" i="8"/>
  <c r="M421" i="8"/>
  <c r="M422" i="8"/>
  <c r="M423" i="8"/>
  <c r="P393" i="8"/>
  <c r="P394" i="8"/>
  <c r="P395" i="8"/>
  <c r="P405" i="8"/>
  <c r="O393" i="8"/>
  <c r="O394" i="8"/>
  <c r="O395" i="8"/>
  <c r="O396" i="8"/>
  <c r="O397" i="8"/>
  <c r="O398" i="8"/>
  <c r="O399" i="8"/>
  <c r="O400" i="8"/>
  <c r="O401" i="8"/>
  <c r="O402" i="8"/>
  <c r="O403" i="8"/>
  <c r="O404" i="8"/>
  <c r="O405" i="8"/>
  <c r="N393" i="8"/>
  <c r="N394" i="8"/>
  <c r="N395" i="8"/>
  <c r="N396" i="8"/>
  <c r="N397" i="8"/>
  <c r="N398" i="8"/>
  <c r="N399" i="8"/>
  <c r="N400" i="8"/>
  <c r="N401" i="8"/>
  <c r="N402" i="8"/>
  <c r="N403" i="8"/>
  <c r="N404" i="8"/>
  <c r="N405" i="8"/>
  <c r="M393" i="8"/>
  <c r="M394" i="8"/>
  <c r="M395" i="8"/>
  <c r="M396" i="8"/>
  <c r="M397" i="8"/>
  <c r="M398" i="8"/>
  <c r="M399" i="8"/>
  <c r="M400" i="8"/>
  <c r="M401" i="8"/>
  <c r="M402" i="8"/>
  <c r="M403" i="8"/>
  <c r="M404" i="8"/>
  <c r="M405" i="8"/>
  <c r="G368" i="8"/>
  <c r="P377" i="8"/>
  <c r="O377" i="8"/>
  <c r="P378" i="8"/>
  <c r="O378" i="8"/>
  <c r="P379" i="8"/>
  <c r="O379" i="8"/>
  <c r="P380" i="8"/>
  <c r="O380" i="8"/>
  <c r="P381" i="8"/>
  <c r="O381" i="8"/>
  <c r="P382" i="8"/>
  <c r="O382" i="8"/>
  <c r="P383" i="8"/>
  <c r="O383" i="8"/>
  <c r="P384" i="8"/>
  <c r="O384" i="8"/>
  <c r="P385" i="8"/>
  <c r="O385" i="8"/>
  <c r="P386" i="8"/>
  <c r="O386" i="8"/>
  <c r="G366" i="8"/>
  <c r="G367" i="8"/>
  <c r="P375" i="8"/>
  <c r="O375" i="8"/>
  <c r="P376" i="8"/>
  <c r="O376" i="8"/>
  <c r="O360" i="8"/>
  <c r="O359" i="8"/>
  <c r="P359" i="8"/>
  <c r="P360" i="8"/>
  <c r="O361" i="8"/>
  <c r="P361" i="8"/>
  <c r="O362" i="8"/>
  <c r="P362" i="8"/>
  <c r="O363" i="8"/>
  <c r="P363" i="8"/>
  <c r="O364" i="8"/>
  <c r="P364" i="8"/>
  <c r="O365" i="8"/>
  <c r="P365" i="8"/>
  <c r="O366" i="8"/>
  <c r="P366" i="8"/>
  <c r="O367" i="8"/>
  <c r="P367" i="8"/>
  <c r="O368" i="8"/>
  <c r="P368" i="8"/>
  <c r="O357" i="8"/>
  <c r="P357" i="8"/>
  <c r="O358" i="8"/>
  <c r="P358" i="8"/>
  <c r="M359" i="8"/>
  <c r="M360" i="8"/>
  <c r="M361" i="8"/>
  <c r="M362" i="8"/>
  <c r="M363" i="8"/>
  <c r="M364" i="8"/>
  <c r="M365" i="8"/>
  <c r="M366" i="8"/>
  <c r="M367" i="8"/>
  <c r="M368" i="8"/>
  <c r="M357" i="8"/>
  <c r="M358" i="8"/>
  <c r="N359" i="8"/>
  <c r="N360" i="8"/>
  <c r="N361" i="8"/>
  <c r="N362" i="8"/>
  <c r="N363" i="8"/>
  <c r="N364" i="8"/>
  <c r="N365" i="8"/>
  <c r="N366" i="8"/>
  <c r="N367" i="8"/>
  <c r="N368" i="8"/>
  <c r="N357" i="8"/>
  <c r="N358" i="8"/>
  <c r="O344" i="8"/>
  <c r="O345" i="8"/>
  <c r="O346" i="8"/>
  <c r="O347" i="8"/>
  <c r="O348" i="8"/>
  <c r="O349" i="8"/>
  <c r="O350" i="8"/>
  <c r="O343" i="8"/>
  <c r="P387" i="8"/>
  <c r="O387" i="8"/>
  <c r="N375" i="8"/>
  <c r="N376" i="8"/>
  <c r="N377" i="8"/>
  <c r="N378" i="8"/>
  <c r="N379" i="8"/>
  <c r="N380" i="8"/>
  <c r="N381" i="8"/>
  <c r="N382" i="8"/>
  <c r="N383" i="8"/>
  <c r="N384" i="8"/>
  <c r="N385" i="8"/>
  <c r="N386" i="8"/>
  <c r="N387" i="8"/>
  <c r="M375" i="8"/>
  <c r="M376" i="8"/>
  <c r="M377" i="8"/>
  <c r="M378" i="8"/>
  <c r="M379" i="8"/>
  <c r="M380" i="8"/>
  <c r="M381" i="8"/>
  <c r="M382" i="8"/>
  <c r="M383" i="8"/>
  <c r="M384" i="8"/>
  <c r="M385" i="8"/>
  <c r="M386" i="8"/>
  <c r="M387" i="8"/>
  <c r="P369" i="8"/>
  <c r="O369" i="8"/>
  <c r="N369" i="8"/>
  <c r="M369" i="8"/>
  <c r="M344" i="8"/>
  <c r="M345" i="8"/>
  <c r="M346" i="8"/>
  <c r="M347" i="8"/>
  <c r="M348" i="8"/>
  <c r="M349" i="8"/>
  <c r="M350" i="8"/>
  <c r="M343" i="8"/>
  <c r="N344" i="8"/>
  <c r="N345" i="8"/>
  <c r="N346" i="8"/>
  <c r="N347" i="8"/>
  <c r="N348" i="8"/>
  <c r="N349" i="8"/>
  <c r="N350" i="8"/>
  <c r="N343" i="8"/>
  <c r="P343" i="8"/>
  <c r="P344" i="8"/>
  <c r="P345" i="8"/>
  <c r="P346" i="8"/>
  <c r="P347" i="8"/>
  <c r="P348" i="8"/>
  <c r="P349" i="8"/>
  <c r="P350" i="8"/>
  <c r="P351" i="8"/>
  <c r="O351" i="8"/>
  <c r="N351" i="8"/>
  <c r="M351" i="8"/>
  <c r="F432" i="8"/>
  <c r="E432" i="8"/>
  <c r="D432" i="8"/>
  <c r="F431" i="8"/>
  <c r="E431" i="8"/>
  <c r="D431" i="8"/>
  <c r="F430" i="8"/>
  <c r="E430" i="8"/>
  <c r="D430" i="8"/>
  <c r="F429" i="8"/>
  <c r="E429" i="8"/>
  <c r="D429" i="8"/>
  <c r="F21" i="4"/>
  <c r="M13" i="1"/>
  <c r="N13" i="1"/>
  <c r="B21" i="4"/>
  <c r="M12" i="1"/>
  <c r="N12" i="1"/>
  <c r="F22" i="4"/>
  <c r="O13" i="1"/>
  <c r="K3" i="4"/>
  <c r="G441" i="8"/>
  <c r="F441" i="8"/>
  <c r="E441" i="8"/>
  <c r="D441" i="8"/>
  <c r="G423" i="8"/>
  <c r="F411" i="8"/>
  <c r="F412" i="8"/>
  <c r="F413" i="8"/>
  <c r="F414" i="8"/>
  <c r="F415" i="8"/>
  <c r="F416" i="8"/>
  <c r="F417" i="8"/>
  <c r="F418" i="8"/>
  <c r="F419" i="8"/>
  <c r="F420" i="8"/>
  <c r="F421" i="8"/>
  <c r="F422" i="8"/>
  <c r="F423" i="8"/>
  <c r="E411" i="8"/>
  <c r="E412" i="8"/>
  <c r="E413" i="8"/>
  <c r="E414" i="8"/>
  <c r="E415" i="8"/>
  <c r="E416" i="8"/>
  <c r="E417" i="8"/>
  <c r="E418" i="8"/>
  <c r="E419" i="8"/>
  <c r="E420" i="8"/>
  <c r="E421" i="8"/>
  <c r="E422" i="8"/>
  <c r="E423" i="8"/>
  <c r="D411" i="8"/>
  <c r="D412" i="8"/>
  <c r="D413" i="8"/>
  <c r="D414" i="8"/>
  <c r="D415" i="8"/>
  <c r="D416" i="8"/>
  <c r="D417" i="8"/>
  <c r="D418" i="8"/>
  <c r="D419" i="8"/>
  <c r="D420" i="8"/>
  <c r="D421" i="8"/>
  <c r="D422" i="8"/>
  <c r="D423" i="8"/>
  <c r="G405" i="8"/>
  <c r="F393" i="8"/>
  <c r="F394" i="8"/>
  <c r="F395" i="8"/>
  <c r="F396" i="8"/>
  <c r="F397" i="8"/>
  <c r="F398" i="8"/>
  <c r="F399" i="8"/>
  <c r="F400" i="8"/>
  <c r="F401" i="8"/>
  <c r="F402" i="8"/>
  <c r="F403" i="8"/>
  <c r="F404" i="8"/>
  <c r="F405" i="8"/>
  <c r="E393" i="8"/>
  <c r="E394" i="8"/>
  <c r="E395" i="8"/>
  <c r="E396" i="8"/>
  <c r="E397" i="8"/>
  <c r="E398" i="8"/>
  <c r="E399" i="8"/>
  <c r="E400" i="8"/>
  <c r="E401" i="8"/>
  <c r="E402" i="8"/>
  <c r="E403" i="8"/>
  <c r="E404" i="8"/>
  <c r="E405" i="8"/>
  <c r="D393" i="8"/>
  <c r="D394" i="8"/>
  <c r="D395" i="8"/>
  <c r="D396" i="8"/>
  <c r="D397" i="8"/>
  <c r="D398" i="8"/>
  <c r="D399" i="8"/>
  <c r="D400" i="8"/>
  <c r="D401" i="8"/>
  <c r="D402" i="8"/>
  <c r="D403" i="8"/>
  <c r="D404" i="8"/>
  <c r="D405" i="8"/>
  <c r="G387" i="8"/>
  <c r="F375" i="8"/>
  <c r="F376" i="8"/>
  <c r="F377" i="8"/>
  <c r="F378" i="8"/>
  <c r="F379" i="8"/>
  <c r="F380" i="8"/>
  <c r="F381" i="8"/>
  <c r="F382" i="8"/>
  <c r="F383" i="8"/>
  <c r="F384" i="8"/>
  <c r="F385" i="8"/>
  <c r="F386" i="8"/>
  <c r="F387" i="8"/>
  <c r="E375" i="8"/>
  <c r="E376" i="8"/>
  <c r="E377" i="8"/>
  <c r="E378" i="8"/>
  <c r="E379" i="8"/>
  <c r="E380" i="8"/>
  <c r="E381" i="8"/>
  <c r="E382" i="8"/>
  <c r="E383" i="8"/>
  <c r="E384" i="8"/>
  <c r="E385" i="8"/>
  <c r="E386" i="8"/>
  <c r="E387" i="8"/>
  <c r="D375" i="8"/>
  <c r="D376" i="8"/>
  <c r="D377" i="8"/>
  <c r="D378" i="8"/>
  <c r="D379" i="8"/>
  <c r="D380" i="8"/>
  <c r="D381" i="8"/>
  <c r="D382" i="8"/>
  <c r="D383" i="8"/>
  <c r="D384" i="8"/>
  <c r="D385" i="8"/>
  <c r="D386" i="8"/>
  <c r="D387" i="8"/>
  <c r="G357" i="8"/>
  <c r="G358" i="8"/>
  <c r="G359" i="8"/>
  <c r="G360" i="8"/>
  <c r="G361" i="8"/>
  <c r="G362" i="8"/>
  <c r="G363" i="8"/>
  <c r="G364" i="8"/>
  <c r="G365" i="8"/>
  <c r="G369" i="8"/>
  <c r="F369" i="8"/>
  <c r="E357" i="8"/>
  <c r="E358" i="8"/>
  <c r="E359" i="8"/>
  <c r="E360" i="8"/>
  <c r="E361" i="8"/>
  <c r="E362" i="8"/>
  <c r="E363" i="8"/>
  <c r="E364" i="8"/>
  <c r="E365" i="8"/>
  <c r="E366" i="8"/>
  <c r="E367" i="8"/>
  <c r="E368" i="8"/>
  <c r="E369" i="8"/>
  <c r="D357" i="8"/>
  <c r="D358" i="8"/>
  <c r="D359" i="8"/>
  <c r="D360" i="8"/>
  <c r="D361" i="8"/>
  <c r="D362" i="8"/>
  <c r="D363" i="8"/>
  <c r="D364" i="8"/>
  <c r="D365" i="8"/>
  <c r="D366" i="8"/>
  <c r="D367" i="8"/>
  <c r="D368" i="8"/>
  <c r="D369" i="8"/>
  <c r="G339" i="8"/>
  <c r="G340" i="8"/>
  <c r="G341" i="8"/>
  <c r="G342" i="8"/>
  <c r="G343" i="8"/>
  <c r="G344" i="8"/>
  <c r="G345" i="8"/>
  <c r="G346" i="8"/>
  <c r="G347" i="8"/>
  <c r="G348" i="8"/>
  <c r="G349" i="8"/>
  <c r="G350" i="8"/>
  <c r="G351" i="8"/>
  <c r="F351" i="8"/>
  <c r="E339" i="8"/>
  <c r="E340" i="8"/>
  <c r="E341" i="8"/>
  <c r="E342" i="8"/>
  <c r="E343" i="8"/>
  <c r="E344" i="8"/>
  <c r="E345" i="8"/>
  <c r="E346" i="8"/>
  <c r="E347" i="8"/>
  <c r="E348" i="8"/>
  <c r="E349" i="8"/>
  <c r="E350" i="8"/>
  <c r="E351" i="8"/>
  <c r="D339" i="8"/>
  <c r="D340" i="8"/>
  <c r="D341" i="8"/>
  <c r="D342" i="8"/>
  <c r="D343" i="8"/>
  <c r="D344" i="8"/>
  <c r="D345" i="8"/>
  <c r="D346" i="8"/>
  <c r="D347" i="8"/>
  <c r="D348" i="8"/>
  <c r="D349" i="8"/>
  <c r="D350" i="8"/>
  <c r="D351" i="8"/>
  <c r="G321" i="8"/>
  <c r="G322" i="8"/>
  <c r="G323" i="8"/>
  <c r="G324" i="8"/>
  <c r="G325" i="8"/>
  <c r="G326" i="8"/>
  <c r="G327" i="8"/>
  <c r="G328" i="8"/>
  <c r="G329" i="8"/>
  <c r="G330" i="8"/>
  <c r="G331" i="8"/>
  <c r="G332" i="8"/>
  <c r="G333" i="8"/>
  <c r="F333" i="8"/>
  <c r="E321" i="8"/>
  <c r="E322" i="8"/>
  <c r="E323" i="8"/>
  <c r="E324" i="8"/>
  <c r="E325" i="8"/>
  <c r="E326" i="8"/>
  <c r="E327" i="8"/>
  <c r="E328" i="8"/>
  <c r="E329" i="8"/>
  <c r="E330" i="8"/>
  <c r="E331" i="8"/>
  <c r="E332" i="8"/>
  <c r="E333" i="8"/>
  <c r="D321" i="8"/>
  <c r="D322" i="8"/>
  <c r="D323" i="8"/>
  <c r="D324" i="8"/>
  <c r="D325" i="8"/>
  <c r="D326" i="8"/>
  <c r="D327" i="8"/>
  <c r="D328" i="8"/>
  <c r="D329" i="8"/>
  <c r="D330" i="8"/>
  <c r="D331" i="8"/>
  <c r="D332" i="8"/>
  <c r="D333" i="8"/>
  <c r="G303" i="8"/>
  <c r="G304" i="8"/>
  <c r="G305" i="8"/>
  <c r="G306" i="8"/>
  <c r="G307" i="8"/>
  <c r="G308" i="8"/>
  <c r="G309" i="8"/>
  <c r="G310" i="8"/>
  <c r="G311" i="8"/>
  <c r="G312" i="8"/>
  <c r="G313" i="8"/>
  <c r="G314" i="8"/>
  <c r="G315" i="8"/>
  <c r="F315" i="8"/>
  <c r="E303" i="8"/>
  <c r="E304" i="8"/>
  <c r="E305" i="8"/>
  <c r="E306" i="8"/>
  <c r="E307" i="8"/>
  <c r="E308" i="8"/>
  <c r="E309" i="8"/>
  <c r="E310" i="8"/>
  <c r="E311" i="8"/>
  <c r="E312" i="8"/>
  <c r="E313" i="8"/>
  <c r="E314" i="8"/>
  <c r="E315" i="8"/>
  <c r="D303" i="8"/>
  <c r="D304" i="8"/>
  <c r="D305" i="8"/>
  <c r="D306" i="8"/>
  <c r="D307" i="8"/>
  <c r="D308" i="8"/>
  <c r="D309" i="8"/>
  <c r="D310" i="8"/>
  <c r="D311" i="8"/>
  <c r="D312" i="8"/>
  <c r="D313" i="8"/>
  <c r="D314" i="8"/>
  <c r="D315" i="8"/>
  <c r="G285" i="8"/>
  <c r="G286" i="8"/>
  <c r="G287" i="8"/>
  <c r="G288" i="8"/>
  <c r="G289" i="8"/>
  <c r="G290" i="8"/>
  <c r="G291" i="8"/>
  <c r="G292" i="8"/>
  <c r="G293" i="8"/>
  <c r="G294" i="8"/>
  <c r="G295" i="8"/>
  <c r="G296" i="8"/>
  <c r="G297" i="8"/>
  <c r="F297" i="8"/>
  <c r="E285" i="8"/>
  <c r="E286" i="8"/>
  <c r="E287" i="8"/>
  <c r="E288" i="8"/>
  <c r="E289" i="8"/>
  <c r="E290" i="8"/>
  <c r="E291" i="8"/>
  <c r="E292" i="8"/>
  <c r="E293" i="8"/>
  <c r="E294" i="8"/>
  <c r="E295" i="8"/>
  <c r="E296" i="8"/>
  <c r="E297" i="8"/>
  <c r="D285" i="8"/>
  <c r="D286" i="8"/>
  <c r="D287" i="8"/>
  <c r="D288" i="8"/>
  <c r="D289" i="8"/>
  <c r="D290" i="8"/>
  <c r="D291" i="8"/>
  <c r="D292" i="8"/>
  <c r="D293" i="8"/>
  <c r="D294" i="8"/>
  <c r="D295" i="8"/>
  <c r="D296" i="8"/>
  <c r="D297" i="8"/>
  <c r="G267" i="8"/>
  <c r="G268" i="8"/>
  <c r="G269" i="8"/>
  <c r="G270" i="8"/>
  <c r="G271" i="8"/>
  <c r="G272" i="8"/>
  <c r="G273" i="8"/>
  <c r="G278" i="8"/>
  <c r="G279" i="8"/>
  <c r="F279" i="8"/>
  <c r="E267" i="8"/>
  <c r="E268" i="8"/>
  <c r="E269" i="8"/>
  <c r="E270" i="8"/>
  <c r="E271" i="8"/>
  <c r="E272" i="8"/>
  <c r="E273" i="8"/>
  <c r="E274" i="8"/>
  <c r="E275" i="8"/>
  <c r="E276" i="8"/>
  <c r="E277" i="8"/>
  <c r="E278" i="8"/>
  <c r="E279" i="8"/>
  <c r="D267" i="8"/>
  <c r="D268" i="8"/>
  <c r="D269" i="8"/>
  <c r="D270" i="8"/>
  <c r="D271" i="8"/>
  <c r="D272" i="8"/>
  <c r="D273" i="8"/>
  <c r="D274" i="8"/>
  <c r="D275" i="8"/>
  <c r="D276" i="8"/>
  <c r="D277" i="8"/>
  <c r="D278" i="8"/>
  <c r="D279" i="8"/>
  <c r="G249" i="8"/>
  <c r="G250" i="8"/>
  <c r="G251" i="8"/>
  <c r="G252" i="8"/>
  <c r="G253" i="8"/>
  <c r="G254" i="8"/>
  <c r="G255" i="8"/>
  <c r="G256" i="8"/>
  <c r="G257" i="8"/>
  <c r="G258" i="8"/>
  <c r="G259" i="8"/>
  <c r="G260" i="8"/>
  <c r="G261" i="8"/>
  <c r="F261" i="8"/>
  <c r="E249" i="8"/>
  <c r="E250" i="8"/>
  <c r="E251" i="8"/>
  <c r="E252" i="8"/>
  <c r="E253" i="8"/>
  <c r="E254" i="8"/>
  <c r="E255" i="8"/>
  <c r="E256" i="8"/>
  <c r="E257" i="8"/>
  <c r="E258" i="8"/>
  <c r="E259" i="8"/>
  <c r="E260" i="8"/>
  <c r="E261" i="8"/>
  <c r="D249" i="8"/>
  <c r="D250" i="8"/>
  <c r="D251" i="8"/>
  <c r="D252" i="8"/>
  <c r="D253" i="8"/>
  <c r="D254" i="8"/>
  <c r="D255" i="8"/>
  <c r="D256" i="8"/>
  <c r="D257" i="8"/>
  <c r="D258" i="8"/>
  <c r="D259" i="8"/>
  <c r="D260" i="8"/>
  <c r="D261" i="8"/>
  <c r="G231" i="8"/>
  <c r="G232" i="8"/>
  <c r="G233" i="8"/>
  <c r="G234" i="8"/>
  <c r="G235" i="8"/>
  <c r="G236" i="8"/>
  <c r="G237" i="8"/>
  <c r="G238" i="8"/>
  <c r="G239" i="8"/>
  <c r="G240" i="8"/>
  <c r="G241" i="8"/>
  <c r="G242" i="8"/>
  <c r="G243" i="8"/>
  <c r="F243" i="8"/>
  <c r="E231" i="8"/>
  <c r="E232" i="8"/>
  <c r="E233" i="8"/>
  <c r="E234" i="8"/>
  <c r="E235" i="8"/>
  <c r="E236" i="8"/>
  <c r="E237" i="8"/>
  <c r="E238" i="8"/>
  <c r="E239" i="8"/>
  <c r="E240" i="8"/>
  <c r="E241" i="8"/>
  <c r="E242" i="8"/>
  <c r="E243" i="8"/>
  <c r="D231" i="8"/>
  <c r="D232" i="8"/>
  <c r="D233" i="8"/>
  <c r="D234" i="8"/>
  <c r="D235" i="8"/>
  <c r="D236" i="8"/>
  <c r="D237" i="8"/>
  <c r="D238" i="8"/>
  <c r="D239" i="8"/>
  <c r="D240" i="8"/>
  <c r="D241" i="8"/>
  <c r="D242" i="8"/>
  <c r="D243" i="8"/>
  <c r="G213" i="8"/>
  <c r="G214" i="8"/>
  <c r="G215" i="8"/>
  <c r="G216" i="8"/>
  <c r="G217" i="8"/>
  <c r="G218" i="8"/>
  <c r="G219" i="8"/>
  <c r="G220" i="8"/>
  <c r="G221" i="8"/>
  <c r="G222" i="8"/>
  <c r="G223" i="8"/>
  <c r="G224" i="8"/>
  <c r="G225" i="8"/>
  <c r="F213" i="8"/>
  <c r="F214" i="8"/>
  <c r="F215" i="8"/>
  <c r="F216" i="8"/>
  <c r="F217" i="8"/>
  <c r="F218" i="8"/>
  <c r="F219" i="8"/>
  <c r="F220" i="8"/>
  <c r="F221" i="8"/>
  <c r="F222" i="8"/>
  <c r="F223" i="8"/>
  <c r="F224" i="8"/>
  <c r="F225" i="8"/>
  <c r="E225" i="8"/>
  <c r="D213" i="8"/>
  <c r="D214" i="8"/>
  <c r="D215" i="8"/>
  <c r="D216" i="8"/>
  <c r="D217" i="8"/>
  <c r="D218" i="8"/>
  <c r="D219" i="8"/>
  <c r="D220" i="8"/>
  <c r="D221" i="8"/>
  <c r="D222" i="8"/>
  <c r="D223" i="8"/>
  <c r="D224" i="8"/>
  <c r="D225" i="8"/>
  <c r="G195" i="8"/>
  <c r="G196" i="8"/>
  <c r="G197" i="8"/>
  <c r="G198" i="8"/>
  <c r="G199" i="8"/>
  <c r="G200" i="8"/>
  <c r="G201" i="8"/>
  <c r="G202" i="8"/>
  <c r="G203" i="8"/>
  <c r="G204" i="8"/>
  <c r="G205" i="8"/>
  <c r="G206" i="8"/>
  <c r="G207" i="8"/>
  <c r="F195" i="8"/>
  <c r="F196" i="8"/>
  <c r="F197" i="8"/>
  <c r="F198" i="8"/>
  <c r="F199" i="8"/>
  <c r="F200" i="8"/>
  <c r="F201" i="8"/>
  <c r="F202" i="8"/>
  <c r="F203" i="8"/>
  <c r="F204" i="8"/>
  <c r="F205" i="8"/>
  <c r="F206" i="8"/>
  <c r="F207" i="8"/>
  <c r="E207" i="8"/>
  <c r="D195" i="8"/>
  <c r="D196" i="8"/>
  <c r="D197" i="8"/>
  <c r="D198" i="8"/>
  <c r="D199" i="8"/>
  <c r="D200" i="8"/>
  <c r="D201" i="8"/>
  <c r="D202" i="8"/>
  <c r="D203" i="8"/>
  <c r="D204" i="8"/>
  <c r="D205" i="8"/>
  <c r="D206" i="8"/>
  <c r="D207" i="8"/>
  <c r="G177" i="8"/>
  <c r="G178" i="8"/>
  <c r="G179" i="8"/>
  <c r="G180" i="8"/>
  <c r="G181" i="8"/>
  <c r="G182" i="8"/>
  <c r="G183" i="8"/>
  <c r="G184" i="8"/>
  <c r="G185" i="8"/>
  <c r="G186" i="8"/>
  <c r="G187" i="8"/>
  <c r="G188" i="8"/>
  <c r="G189" i="8"/>
  <c r="F177" i="8"/>
  <c r="F178" i="8"/>
  <c r="F179" i="8"/>
  <c r="F180" i="8"/>
  <c r="F181" i="8"/>
  <c r="F182" i="8"/>
  <c r="F183" i="8"/>
  <c r="F184" i="8"/>
  <c r="F185" i="8"/>
  <c r="F186" i="8"/>
  <c r="F187" i="8"/>
  <c r="F188" i="8"/>
  <c r="F189" i="8"/>
  <c r="E189" i="8"/>
  <c r="D177" i="8"/>
  <c r="D178" i="8"/>
  <c r="D179" i="8"/>
  <c r="D180" i="8"/>
  <c r="D181" i="8"/>
  <c r="D182" i="8"/>
  <c r="D183" i="8"/>
  <c r="D184" i="8"/>
  <c r="D185" i="8"/>
  <c r="D186" i="8"/>
  <c r="D187" i="8"/>
  <c r="D188" i="8"/>
  <c r="D189" i="8"/>
  <c r="G159" i="8"/>
  <c r="G160" i="8"/>
  <c r="G161" i="8"/>
  <c r="G162" i="8"/>
  <c r="G163" i="8"/>
  <c r="G164" i="8"/>
  <c r="G165" i="8"/>
  <c r="G166" i="8"/>
  <c r="G167" i="8"/>
  <c r="G168" i="8"/>
  <c r="G169" i="8"/>
  <c r="G170" i="8"/>
  <c r="G171" i="8"/>
  <c r="F159" i="8"/>
  <c r="F160" i="8"/>
  <c r="F161" i="8"/>
  <c r="F162" i="8"/>
  <c r="F163" i="8"/>
  <c r="F164" i="8"/>
  <c r="F165" i="8"/>
  <c r="F166" i="8"/>
  <c r="F167" i="8"/>
  <c r="F168" i="8"/>
  <c r="F169" i="8"/>
  <c r="F170" i="8"/>
  <c r="F171" i="8"/>
  <c r="E171" i="8"/>
  <c r="D159" i="8"/>
  <c r="D160" i="8"/>
  <c r="D161" i="8"/>
  <c r="D162" i="8"/>
  <c r="D163" i="8"/>
  <c r="D164" i="8"/>
  <c r="D165" i="8"/>
  <c r="D166" i="8"/>
  <c r="D167" i="8"/>
  <c r="D168" i="8"/>
  <c r="D169" i="8"/>
  <c r="D170" i="8"/>
  <c r="D171" i="8"/>
  <c r="G141" i="8"/>
  <c r="G142" i="8"/>
  <c r="G143" i="8"/>
  <c r="G144" i="8"/>
  <c r="G145" i="8"/>
  <c r="G146" i="8"/>
  <c r="G147" i="8"/>
  <c r="G148" i="8"/>
  <c r="G149" i="8"/>
  <c r="G150" i="8"/>
  <c r="G151" i="8"/>
  <c r="G152" i="8"/>
  <c r="G153" i="8"/>
  <c r="F141" i="8"/>
  <c r="F142" i="8"/>
  <c r="F143" i="8"/>
  <c r="F144" i="8"/>
  <c r="F145" i="8"/>
  <c r="F146" i="8"/>
  <c r="F147" i="8"/>
  <c r="F148" i="8"/>
  <c r="F149" i="8"/>
  <c r="F150" i="8"/>
  <c r="F151" i="8"/>
  <c r="F152" i="8"/>
  <c r="F153" i="8"/>
  <c r="E153" i="8"/>
  <c r="D141" i="8"/>
  <c r="D142" i="8"/>
  <c r="D143" i="8"/>
  <c r="D144" i="8"/>
  <c r="D145" i="8"/>
  <c r="D146" i="8"/>
  <c r="D147" i="8"/>
  <c r="D148" i="8"/>
  <c r="D149" i="8"/>
  <c r="D150" i="8"/>
  <c r="D151" i="8"/>
  <c r="D152" i="8"/>
  <c r="D153" i="8"/>
  <c r="G123" i="8"/>
  <c r="G124" i="8"/>
  <c r="G125" i="8"/>
  <c r="G126" i="8"/>
  <c r="G127" i="8"/>
  <c r="G128" i="8"/>
  <c r="G129" i="8"/>
  <c r="G130" i="8"/>
  <c r="G131" i="8"/>
  <c r="G132" i="8"/>
  <c r="G133" i="8"/>
  <c r="G134" i="8"/>
  <c r="G135" i="8"/>
  <c r="F123" i="8"/>
  <c r="F124" i="8"/>
  <c r="F125" i="8"/>
  <c r="F126" i="8"/>
  <c r="F127" i="8"/>
  <c r="F128" i="8"/>
  <c r="F129" i="8"/>
  <c r="F130" i="8"/>
  <c r="F131" i="8"/>
  <c r="F132" i="8"/>
  <c r="F133" i="8"/>
  <c r="F134" i="8"/>
  <c r="F135" i="8"/>
  <c r="E135" i="8"/>
  <c r="D123" i="8"/>
  <c r="D124" i="8"/>
  <c r="D125" i="8"/>
  <c r="D126" i="8"/>
  <c r="D127" i="8"/>
  <c r="D128" i="8"/>
  <c r="D129" i="8"/>
  <c r="D130" i="8"/>
  <c r="D131" i="8"/>
  <c r="D132" i="8"/>
  <c r="D133" i="8"/>
  <c r="D134" i="8"/>
  <c r="D135" i="8"/>
  <c r="G105" i="8"/>
  <c r="G106" i="8"/>
  <c r="G107" i="8"/>
  <c r="G108" i="8"/>
  <c r="G109" i="8"/>
  <c r="G110" i="8"/>
  <c r="G111" i="8"/>
  <c r="G112" i="8"/>
  <c r="G113" i="8"/>
  <c r="G114" i="8"/>
  <c r="G115" i="8"/>
  <c r="G116" i="8"/>
  <c r="G117" i="8"/>
  <c r="F105" i="8"/>
  <c r="F106" i="8"/>
  <c r="F107" i="8"/>
  <c r="F108" i="8"/>
  <c r="F109" i="8"/>
  <c r="F110" i="8"/>
  <c r="F111" i="8"/>
  <c r="F112" i="8"/>
  <c r="F113" i="8"/>
  <c r="F114" i="8"/>
  <c r="F115" i="8"/>
  <c r="F116" i="8"/>
  <c r="F117" i="8"/>
  <c r="E117" i="8"/>
  <c r="D105" i="8"/>
  <c r="D106" i="8"/>
  <c r="D107" i="8"/>
  <c r="D108" i="8"/>
  <c r="D109" i="8"/>
  <c r="D110" i="8"/>
  <c r="D111" i="8"/>
  <c r="D112" i="8"/>
  <c r="D113" i="8"/>
  <c r="D114" i="8"/>
  <c r="D115" i="8"/>
  <c r="D116" i="8"/>
  <c r="D117" i="8"/>
  <c r="G87" i="8"/>
  <c r="G88" i="8"/>
  <c r="G89" i="8"/>
  <c r="G90" i="8"/>
  <c r="G91" i="8"/>
  <c r="G92" i="8"/>
  <c r="G93" i="8"/>
  <c r="G94" i="8"/>
  <c r="G95" i="8"/>
  <c r="G96" i="8"/>
  <c r="G97" i="8"/>
  <c r="G98" i="8"/>
  <c r="G99" i="8"/>
  <c r="F87" i="8"/>
  <c r="F88" i="8"/>
  <c r="F89" i="8"/>
  <c r="F90" i="8"/>
  <c r="F91" i="8"/>
  <c r="F92" i="8"/>
  <c r="F93" i="8"/>
  <c r="F94" i="8"/>
  <c r="F95" i="8"/>
  <c r="F96" i="8"/>
  <c r="F97" i="8"/>
  <c r="F98" i="8"/>
  <c r="F99" i="8"/>
  <c r="E99" i="8"/>
  <c r="D87" i="8"/>
  <c r="D88" i="8"/>
  <c r="D89" i="8"/>
  <c r="D90" i="8"/>
  <c r="D91" i="8"/>
  <c r="D92" i="8"/>
  <c r="D93" i="8"/>
  <c r="D94" i="8"/>
  <c r="D95" i="8"/>
  <c r="D96" i="8"/>
  <c r="D97" i="8"/>
  <c r="D98" i="8"/>
  <c r="D99" i="8"/>
  <c r="G69" i="8"/>
  <c r="G70" i="8"/>
  <c r="G71" i="8"/>
  <c r="G72" i="8"/>
  <c r="G73" i="8"/>
  <c r="G74" i="8"/>
  <c r="G75" i="8"/>
  <c r="G76" i="8"/>
  <c r="G77" i="8"/>
  <c r="G78" i="8"/>
  <c r="G79" i="8"/>
  <c r="G80" i="8"/>
  <c r="G81" i="8"/>
  <c r="F69" i="8"/>
  <c r="F70" i="8"/>
  <c r="F71" i="8"/>
  <c r="F72" i="8"/>
  <c r="F73" i="8"/>
  <c r="F74" i="8"/>
  <c r="F75" i="8"/>
  <c r="F76" i="8"/>
  <c r="F77" i="8"/>
  <c r="F78" i="8"/>
  <c r="F79" i="8"/>
  <c r="F80" i="8"/>
  <c r="F81" i="8"/>
  <c r="E69" i="8"/>
  <c r="E70" i="8"/>
  <c r="E71" i="8"/>
  <c r="E72" i="8"/>
  <c r="E73" i="8"/>
  <c r="E74" i="8"/>
  <c r="E75" i="8"/>
  <c r="E76" i="8"/>
  <c r="E77" i="8"/>
  <c r="E78" i="8"/>
  <c r="E79" i="8"/>
  <c r="E80" i="8"/>
  <c r="E81" i="8"/>
  <c r="D81" i="8"/>
  <c r="G51" i="8"/>
  <c r="G52" i="8"/>
  <c r="G53" i="8"/>
  <c r="G54" i="8"/>
  <c r="G55" i="8"/>
  <c r="G56" i="8"/>
  <c r="G57" i="8"/>
  <c r="G58" i="8"/>
  <c r="G59" i="8"/>
  <c r="G60" i="8"/>
  <c r="G61" i="8"/>
  <c r="G62" i="8"/>
  <c r="G63" i="8"/>
  <c r="F51" i="8"/>
  <c r="F52" i="8"/>
  <c r="F53" i="8"/>
  <c r="F54" i="8"/>
  <c r="F55" i="8"/>
  <c r="F56" i="8"/>
  <c r="F57" i="8"/>
  <c r="F58" i="8"/>
  <c r="F59" i="8"/>
  <c r="F60" i="8"/>
  <c r="F61" i="8"/>
  <c r="F62" i="8"/>
  <c r="F63" i="8"/>
  <c r="E51" i="8"/>
  <c r="E52" i="8"/>
  <c r="E53" i="8"/>
  <c r="E54" i="8"/>
  <c r="E55" i="8"/>
  <c r="E56" i="8"/>
  <c r="E57" i="8"/>
  <c r="E58" i="8"/>
  <c r="E59" i="8"/>
  <c r="E60" i="8"/>
  <c r="E61" i="8"/>
  <c r="E62" i="8"/>
  <c r="E63" i="8"/>
  <c r="D63" i="8"/>
  <c r="G33" i="8"/>
  <c r="G34" i="8"/>
  <c r="G35" i="8"/>
  <c r="G36" i="8"/>
  <c r="G37" i="8"/>
  <c r="G38" i="8"/>
  <c r="G39" i="8"/>
  <c r="G40" i="8"/>
  <c r="G41" i="8"/>
  <c r="G42" i="8"/>
  <c r="G43" i="8"/>
  <c r="G44" i="8"/>
  <c r="G45" i="8"/>
  <c r="F33" i="8"/>
  <c r="F34" i="8"/>
  <c r="F35" i="8"/>
  <c r="F36" i="8"/>
  <c r="F37" i="8"/>
  <c r="F38" i="8"/>
  <c r="F39" i="8"/>
  <c r="F40" i="8"/>
  <c r="F41" i="8"/>
  <c r="F42" i="8"/>
  <c r="F43" i="8"/>
  <c r="F44" i="8"/>
  <c r="F45" i="8"/>
  <c r="E33" i="8"/>
  <c r="E34" i="8"/>
  <c r="E35" i="8"/>
  <c r="E36" i="8"/>
  <c r="E37" i="8"/>
  <c r="E38" i="8"/>
  <c r="E39" i="8"/>
  <c r="E40" i="8"/>
  <c r="E41" i="8"/>
  <c r="E42" i="8"/>
  <c r="E43" i="8"/>
  <c r="E44" i="8"/>
  <c r="E45" i="8"/>
  <c r="D45" i="8"/>
  <c r="G15" i="8"/>
  <c r="G16" i="8"/>
  <c r="G17" i="8"/>
  <c r="G18" i="8"/>
  <c r="G19" i="8"/>
  <c r="G20" i="8"/>
  <c r="G21" i="8"/>
  <c r="G22" i="8"/>
  <c r="G23" i="8"/>
  <c r="G24" i="8"/>
  <c r="G25" i="8"/>
  <c r="G26" i="8"/>
  <c r="G27" i="8"/>
  <c r="F15" i="8"/>
  <c r="F16" i="8"/>
  <c r="F17" i="8"/>
  <c r="F18" i="8"/>
  <c r="F19" i="8"/>
  <c r="F20" i="8"/>
  <c r="F21" i="8"/>
  <c r="F22" i="8"/>
  <c r="F23" i="8"/>
  <c r="F24" i="8"/>
  <c r="F25" i="8"/>
  <c r="F26" i="8"/>
  <c r="F27" i="8"/>
  <c r="E15" i="8"/>
  <c r="E16" i="8"/>
  <c r="E17" i="8"/>
  <c r="E18" i="8"/>
  <c r="E19" i="8"/>
  <c r="E20" i="8"/>
  <c r="E21" i="8"/>
  <c r="E22" i="8"/>
  <c r="E23" i="8"/>
  <c r="E24" i="8"/>
  <c r="E25" i="8"/>
  <c r="E26" i="8"/>
  <c r="E27" i="8"/>
  <c r="D27" i="8"/>
  <c r="I28" i="1"/>
  <c r="J28" i="1"/>
  <c r="K28" i="1"/>
  <c r="L28" i="1"/>
  <c r="M28" i="1"/>
  <c r="N28" i="1"/>
  <c r="C7" i="7"/>
  <c r="J24" i="1"/>
  <c r="K24" i="1"/>
  <c r="L24" i="1"/>
  <c r="M24" i="1"/>
  <c r="N24" i="1"/>
  <c r="C4" i="3"/>
  <c r="O24" i="1"/>
  <c r="F18" i="4"/>
  <c r="K13" i="1"/>
  <c r="F19" i="4"/>
  <c r="L13" i="1"/>
  <c r="B18" i="4"/>
  <c r="K12" i="1"/>
  <c r="B19" i="4"/>
  <c r="L12" i="1"/>
  <c r="M11" i="1"/>
  <c r="N11" i="1"/>
  <c r="N5" i="1"/>
  <c r="C14" i="2"/>
  <c r="O5" i="1"/>
  <c r="N4" i="1"/>
  <c r="O4" i="1"/>
  <c r="K4" i="1"/>
  <c r="L4" i="1"/>
  <c r="M4" i="1"/>
  <c r="B2" i="2"/>
  <c r="B3" i="2"/>
  <c r="C3" i="2"/>
  <c r="B4" i="2"/>
  <c r="C4" i="2"/>
  <c r="B5" i="2"/>
  <c r="C5" i="2"/>
  <c r="B6" i="2"/>
  <c r="C6" i="2"/>
  <c r="B7" i="2"/>
  <c r="C7" i="2"/>
  <c r="B8" i="2"/>
  <c r="C8" i="2"/>
  <c r="B9" i="2"/>
  <c r="C9" i="2"/>
  <c r="B10" i="2"/>
  <c r="C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FEONG</author>
  </authors>
  <commentList>
    <comment ref="E14" authorId="0" shapeId="0" xr:uid="{00000000-0006-0000-0000-000001000000}">
      <text>
        <r>
          <rPr>
            <b/>
            <sz val="8"/>
            <color indexed="8"/>
            <rFont val="Times New Roman"/>
            <family val="1"/>
          </rPr>
          <t xml:space="preserve">christine:
</t>
        </r>
        <r>
          <rPr>
            <sz val="10"/>
            <color indexed="8"/>
            <rFont val="Times New Roman"/>
            <family val="1"/>
          </rPr>
          <t>Ce plafond est de 2500 euros pour les travailleurs de plus de 45 ans qui suivent une formation professionnelle ou pour les travailleurs victimes d’une fermeture collective.</t>
        </r>
      </text>
    </comment>
  </commentList>
</comments>
</file>

<file path=xl/sharedStrings.xml><?xml version="1.0" encoding="utf-8"?>
<sst xmlns="http://schemas.openxmlformats.org/spreadsheetml/2006/main" count="500" uniqueCount="305">
  <si>
    <t>Différents seuils du revenu annuel, qui influent  sur la possiblité et les modalités d'une clause de non-concurrence (art. 65 et 104) ou d'arbitrage (art. 69), sur la durée maximale de la période d'essai (art. 67), sur le délai de préavis (art. 82), sur le préavis réduit (art. 84) ou sur la durée de l'absence pendant le préavis pour chercher un nouvel emploi (art. 85). NB : Cette rémunération annuelle comprend les avantages acquis en vertu d'un contrat (prime de fin d'année, double pécule de vacances,...).</t>
  </si>
  <si>
    <t>Saisissable ou cessible jusqu'à concurence de 30% entre</t>
  </si>
  <si>
    <t>954,01 et 1053</t>
  </si>
  <si>
    <t>Majoration pour enfant à charge</t>
  </si>
  <si>
    <r>
      <t>1</t>
    </r>
    <r>
      <rPr>
        <vertAlign val="superscript"/>
        <sz val="10"/>
        <rFont val="Arial"/>
        <family val="2"/>
      </rPr>
      <t>er</t>
    </r>
    <r>
      <rPr>
        <sz val="10"/>
        <rFont val="Arial"/>
        <family val="2"/>
      </rPr>
      <t xml:space="preserve"> janvier</t>
    </r>
  </si>
  <si>
    <r>
      <t>1</t>
    </r>
    <r>
      <rPr>
        <vertAlign val="superscript"/>
        <sz val="10"/>
        <rFont val="Arial"/>
        <family val="2"/>
      </rPr>
      <t>er</t>
    </r>
    <r>
      <rPr>
        <sz val="10"/>
        <rFont val="Arial"/>
        <family val="2"/>
      </rPr>
      <t xml:space="preserve"> juillet</t>
    </r>
  </si>
  <si>
    <r>
      <t>1</t>
    </r>
    <r>
      <rPr>
        <vertAlign val="superscript"/>
        <sz val="10"/>
        <rFont val="Arial"/>
        <family val="2"/>
      </rPr>
      <t>er</t>
    </r>
    <r>
      <rPr>
        <sz val="10"/>
        <rFont val="Arial"/>
        <family val="2"/>
      </rPr>
      <t xml:space="preserve"> février</t>
    </r>
  </si>
  <si>
    <t>1053,01 et 1152</t>
  </si>
  <si>
    <t>1075,01 et 1175</t>
  </si>
  <si>
    <t>Depuis  1/09/2005: 34.853,61</t>
  </si>
  <si>
    <t>irrégulier</t>
  </si>
  <si>
    <t>Saisissable ou cessible jusqu'à concurence de 20% entre</t>
  </si>
  <si>
    <t>889,01 et 954</t>
  </si>
  <si>
    <t>907,01 et 974</t>
  </si>
  <si>
    <t>Montant prévu par CCT pour les secteurs socioculturels et sportifs de la SCP 329.02</t>
    <phoneticPr fontId="9" type="noConversion"/>
  </si>
  <si>
    <t>Depuis 1/11/2006: 35.550,68</t>
  </si>
  <si>
    <t>1 159,01 et 1 268</t>
    <phoneticPr fontId="9" type="noConversion"/>
  </si>
  <si>
    <t>Saisissable ou cessible à concurence de 100% à partir de</t>
  </si>
  <si>
    <t>En fin d'année…</t>
  </si>
  <si>
    <t>Sportif rémunéré</t>
  </si>
  <si>
    <t>Petites indemnités pour artistes</t>
  </si>
  <si>
    <t>Thème</t>
  </si>
  <si>
    <t>Périodicité</t>
  </si>
  <si>
    <t>Pour en savoir plus…</t>
  </si>
  <si>
    <t>Volontariat</t>
  </si>
  <si>
    <t>annuel</t>
  </si>
  <si>
    <t>Frais de déplacement domicile - lieu de travail (SCP 329.02)</t>
    <phoneticPr fontId="9" type="noConversion"/>
  </si>
  <si>
    <t>Augmentation de 2% du brut mensuel de tous les salariés lorsque dépassement de l'indice-pivot en vigueur pour le secteur socioculturel et sportif</t>
  </si>
  <si>
    <t>+2% au 01/09/2005</t>
  </si>
  <si>
    <t>+ 2% au 01/11/2006</t>
  </si>
  <si>
    <t>Point APE</t>
  </si>
  <si>
    <t>Valeur du point</t>
  </si>
  <si>
    <t>Prime de fin d'année</t>
  </si>
  <si>
    <t>Revenu Minimum Mensuel Moyen Garanti</t>
  </si>
  <si>
    <t>21,5 ans et 6 mois d'ancienneté</t>
  </si>
  <si>
    <t>22 ans et 1 an d'ancienneté</t>
  </si>
  <si>
    <t>Frais de mission (SCP 329.02)</t>
    <phoneticPr fontId="9" type="noConversion"/>
  </si>
  <si>
    <t>Irrégulier</t>
    <phoneticPr fontId="9" type="noConversion"/>
  </si>
  <si>
    <t>Depuis 1/07/2009: 1440,67</t>
    <phoneticPr fontId="9" type="noConversion"/>
  </si>
  <si>
    <t>0,3096€/km</t>
    <phoneticPr fontId="9" type="noConversion"/>
  </si>
  <si>
    <t>981,01 et 1 054</t>
  </si>
  <si>
    <t>Barèmes de la carte-train</t>
  </si>
  <si>
    <t>annuel</t>
    <phoneticPr fontId="9" type="noConversion"/>
  </si>
  <si>
    <t>0,3026 €/km</t>
    <phoneticPr fontId="9" type="noConversion"/>
  </si>
  <si>
    <t>0,3185€/km</t>
    <phoneticPr fontId="9" type="noConversion"/>
  </si>
  <si>
    <t>Plafond de rémunération pour intervention en cas d'utilisation de la voiture personnelle. ATTENTION : depuis le 01-04-2009, seule la SCP 329.03 est concernée par le plafond</t>
    <phoneticPr fontId="9" type="noConversion"/>
  </si>
  <si>
    <t>Frais de déplacement domicile - lieu de travail</t>
    <phoneticPr fontId="9" type="noConversion"/>
  </si>
  <si>
    <t>A partir du 1/07/2009: 0,31€/km</t>
    <phoneticPr fontId="9" type="noConversion"/>
  </si>
  <si>
    <t>1 003,01 et 1 077</t>
    <phoneticPr fontId="9" type="noConversion"/>
  </si>
  <si>
    <t>1 077,01 et 1 188</t>
    <phoneticPr fontId="9" type="noConversion"/>
  </si>
  <si>
    <t>1 188,01 et 1 300</t>
    <phoneticPr fontId="9" type="noConversion"/>
  </si>
  <si>
    <t>Saisissable ou cessible jusqu'à concurence de 40% entre</t>
  </si>
  <si>
    <t>Congé-éducation payé</t>
  </si>
  <si>
    <t>Plafond pour la rémunération remboursée ultérieurement à l'employeur</t>
  </si>
  <si>
    <t>Loi sur les contrats de travail</t>
  </si>
  <si>
    <t>insaisissable ou incessible jusque</t>
  </si>
  <si>
    <t>974,01 et 1075</t>
  </si>
  <si>
    <t>0,3178 €/km</t>
    <phoneticPr fontId="9" type="noConversion"/>
  </si>
  <si>
    <t>+ 2% au 01/10/2010</t>
    <phoneticPr fontId="9" type="noConversion"/>
  </si>
  <si>
    <t>En cyclomoteur</t>
    <phoneticPr fontId="9" type="noConversion"/>
  </si>
  <si>
    <t>En vélo</t>
    <phoneticPr fontId="9" type="noConversion"/>
  </si>
  <si>
    <t>Salaire minimum garanti en SCP 329.03</t>
    <phoneticPr fontId="9" type="noConversion"/>
  </si>
  <si>
    <t>Montant minimum pour être considéré comme sportif rémunéré et donc soumis à la loi du 24 février 1978</t>
  </si>
  <si>
    <t>Frais de mission</t>
  </si>
  <si>
    <t>Montant maximum pour le personnel de l'Etat (= montant max. remboursable sans taxe pour les déplacements professionnels)</t>
  </si>
  <si>
    <t>0,2841 €/km</t>
  </si>
  <si>
    <t>0,2903 €/km</t>
  </si>
  <si>
    <t>/</t>
  </si>
  <si>
    <t>Voir note JFD</t>
    <phoneticPr fontId="9" type="noConversion"/>
  </si>
  <si>
    <t>1 054,01 et 1 162</t>
  </si>
  <si>
    <t>1 162,01 et 1 271</t>
  </si>
  <si>
    <t>978,01 et 1 050</t>
    <phoneticPr fontId="9" type="noConversion"/>
  </si>
  <si>
    <t>1 050,01 et 1 159</t>
    <phoneticPr fontId="9" type="noConversion"/>
  </si>
  <si>
    <t>0,3352 €/km</t>
  </si>
  <si>
    <t>+ 2% au 01/06/2011</t>
  </si>
  <si>
    <t>1 037,01 et 1 113</t>
  </si>
  <si>
    <t>1 113,01 et 1 228</t>
  </si>
  <si>
    <t>1 228,01 et 1 344</t>
  </si>
  <si>
    <t>0,1600€/km</t>
  </si>
  <si>
    <t xml:space="preserve"> + 2% au 01/03/2012</t>
  </si>
  <si>
    <t>Depuis le 1/03/2012: 40 035,83</t>
  </si>
  <si>
    <t>0,3307/km</t>
  </si>
  <si>
    <t>0,3382€/km</t>
  </si>
  <si>
    <t>0,1636€/km</t>
  </si>
  <si>
    <t xml:space="preserve"> + 2% au 01/01/2013</t>
  </si>
  <si>
    <t>www.cnt-nar.be/Cct-montants.htm</t>
  </si>
  <si>
    <t>Prépension</t>
  </si>
  <si>
    <t>Plafond de rémunération brute utilisée pour calcul de l'indemnité complémentaire</t>
  </si>
  <si>
    <t>Depuis le 01/02/12: 3697,61</t>
  </si>
  <si>
    <t>Depuis 1/06/2011: 39 250,81</t>
  </si>
  <si>
    <t>Depuis 1/10/2010: 38 481,19</t>
  </si>
  <si>
    <t>1.255,01 et 1.373</t>
  </si>
  <si>
    <t>1.138,01 et 1.255</t>
  </si>
  <si>
    <t>1.059,01 et 1.138</t>
  </si>
  <si>
    <t>0,3456 €/km</t>
  </si>
  <si>
    <t>Depuis le 01/01/13: 3780,69</t>
  </si>
  <si>
    <t>0,3461 €/km</t>
  </si>
  <si>
    <t>Depuis 1/01/2010: 1459,86 - Depuis 1/10/2010: 1489,06</t>
  </si>
  <si>
    <t>Depuis 1/01/2011: 1503,08 - Depuis 1/06/2011: 1533,14</t>
  </si>
  <si>
    <t xml:space="preserve">0,15x la même fraction que celle pour les frais de mission vue à la ligne précédente </t>
  </si>
  <si>
    <t>attendre</t>
  </si>
  <si>
    <t>Références légales :</t>
  </si>
  <si>
    <t>Saisie et cession de rémunérations</t>
  </si>
  <si>
    <t>http://www.ejustice.just.fgov.be/cgi_loi/loi_a1.pl?imgcn.x=46&amp;imgcn.y=6&amp;DETAIL=2013102501%2FF&amp;caller=arrexec&amp;row_id=1&amp;numero=6&amp;rech=1466&amp;cn=2013102501&amp;table_name=LOI&amp;nm=2013205671&amp;la=F&amp;chercher=t&amp;dt=LOI&amp;language=fr&amp;fr=f&amp;choix1=ET&amp;choix2=ET&amp;cn_arrexec=1978070301&amp;dt_arrexec=LOI&amp;fromtab=loi_all&amp;ddda=1978&amp;sql=arrexec+contains+%271978070301%27+and+la+%3D+%27F%27&amp;tri=dd+AS+RANK+&amp;trier=promulgation&amp;dddj=03&amp;dddm=07</t>
  </si>
  <si>
    <t>Voir les commentaires des CCT</t>
  </si>
  <si>
    <r>
      <t>CCT du 1</t>
    </r>
    <r>
      <rPr>
        <vertAlign val="superscript"/>
        <sz val="10"/>
        <rFont val="Frutiger LT Std 45 Light"/>
      </rPr>
      <t>er</t>
    </r>
    <r>
      <rPr>
        <sz val="10"/>
        <rFont val="Frutiger LT Std 45 Light"/>
      </rPr>
      <t xml:space="preserve"> juillet 2002 vise les travailleurs de l’ISP « qui sont affectés à des projets d’insertion socioprofessionnelle tels que définis par le décret de la Commission communautaire française du 27 avril 1995 » et oblige l’employeur à octroyer une  PFA </t>
    </r>
  </si>
  <si>
    <t>une partie forfaitaire non indexée, une partie forfaitaire indexée et une partie variable.</t>
  </si>
  <si>
    <t>PFA prévues par CCT SCP 329.02</t>
  </si>
  <si>
    <t>161,40 € + 366,29 € + 2,5% de la rémunération brute indexée du mois de décembre multipliée par 12</t>
  </si>
  <si>
    <t>CCT du 28 juin 2011 des CFP de l'AWIPH</t>
  </si>
  <si>
    <t>une partie forfaitaire indexée, une seconde partie forfaitaire indexée et une partie variable</t>
  </si>
  <si>
    <t>368,7795 €  + 101,1377 €  + (2,5% de la rémunération brute du mois d'octobre multipliée par 12)</t>
  </si>
  <si>
    <t>CCT du 14 juillet 2011 - SECTEURS DEPENDANT DE LA REGION WALLONNE : CRI, EFT, OISP ET MIRE</t>
  </si>
  <si>
    <t xml:space="preserve">Références faite à la fonction publique </t>
  </si>
  <si>
    <t>http://emploi.wallonie.be/Pour_Vous/Associations/APE/avantages.html</t>
  </si>
  <si>
    <t>1069,01 et 1149</t>
  </si>
  <si>
    <t>1149,01 et 1267</t>
  </si>
  <si>
    <t>1267,01 et 1386</t>
  </si>
  <si>
    <t>http://www.cnt.be/Cct-montants.htm</t>
  </si>
  <si>
    <t>3780,69 (Pas de revalorisation)</t>
  </si>
  <si>
    <t>Prévision décembre 2014</t>
  </si>
  <si>
    <t>0,3412 €/km</t>
  </si>
  <si>
    <t>1073,01 et 1153</t>
  </si>
  <si>
    <t>1153,01 et 1272</t>
  </si>
  <si>
    <t>1272,01 et 1391</t>
  </si>
  <si>
    <t>1085,01 et 1166</t>
  </si>
  <si>
    <t>1166,01 et 1286</t>
  </si>
  <si>
    <t>1286,01 et 1407</t>
  </si>
  <si>
    <r>
      <rPr>
        <strike/>
        <sz val="10"/>
        <rFont val="Arial"/>
        <family val="2"/>
      </rPr>
      <t>Article 67 (780 000 FB dans la loi)</t>
    </r>
    <r>
      <rPr>
        <sz val="10"/>
        <rFont val="Arial"/>
        <family val="2"/>
      </rPr>
      <t xml:space="preserve"> abrogé à partir du 1/1/2014</t>
    </r>
  </si>
  <si>
    <r>
      <t>Articles 65,</t>
    </r>
    <r>
      <rPr>
        <strike/>
        <sz val="10"/>
        <rFont val="Arial"/>
        <family val="2"/>
      </rPr>
      <t>82,84, 85</t>
    </r>
    <r>
      <rPr>
        <sz val="10"/>
        <rFont val="Arial"/>
        <family val="2"/>
      </rPr>
      <t xml:space="preserve"> et 104 (650 000 FB dans la loi)</t>
    </r>
  </si>
  <si>
    <r>
      <t xml:space="preserve">Articles 65, 69, </t>
    </r>
    <r>
      <rPr>
        <strike/>
        <sz val="10"/>
        <rFont val="Arial"/>
        <family val="2"/>
      </rPr>
      <t>82 et 84</t>
    </r>
    <r>
      <rPr>
        <sz val="10"/>
        <rFont val="Arial"/>
        <family val="2"/>
      </rPr>
      <t xml:space="preserve"> (1 300 000 FB dans la loi)</t>
    </r>
  </si>
  <si>
    <t>CHIFFRES UTILES - 1 janvier 2017</t>
  </si>
  <si>
    <t>+ 2% au 01/07/2016</t>
  </si>
  <si>
    <t>Voir note NC</t>
  </si>
  <si>
    <t>montant/km x (indice des prix à la consommation du mois de novembre de l'année précédant l'adaptation au 1er janvier/indice des prix à la consommation de novembre 2008 (ex : x * indice 2013/indice 2008)</t>
  </si>
  <si>
    <t xml:space="preserve">Indice pivot à atteindre </t>
  </si>
  <si>
    <t>Coefficient d'indexation</t>
  </si>
  <si>
    <t>1er janvier de l'année qui suit le mois au cours duquel l'indice pivot a été dépassé</t>
  </si>
  <si>
    <t xml:space="preserve">Date de l'indexation </t>
  </si>
  <si>
    <t>Blocage de l'index (indice pivot de 101,02 dépassé en mai 2016, effet au 01/01/2017)</t>
  </si>
  <si>
    <t>Blocage de l'index</t>
  </si>
  <si>
    <t>Attention ! L'indice pivot est dépassé à 2 reprises en 2012 =&gt; double indexation au 01/01/2013</t>
  </si>
  <si>
    <t>Pas de dépassement de l'indice pivot en 2009 =&gt; les montants restent identiques</t>
  </si>
  <si>
    <t>Attention ! L'indice pivot est dépassé à 2 reprises en 2008 =&gt; double indexation au 01/01/2009</t>
  </si>
  <si>
    <t>Commentaires</t>
  </si>
  <si>
    <t>Indemnité annuelle</t>
  </si>
  <si>
    <t>Indemnité journalière</t>
  </si>
  <si>
    <t>Base 2013</t>
  </si>
  <si>
    <t xml:space="preserve"> Base 2004</t>
  </si>
  <si>
    <t>Date de dépassement</t>
  </si>
  <si>
    <t>Index de référence</t>
  </si>
  <si>
    <t>Novembre 2008 (base 2013)</t>
  </si>
  <si>
    <t>Consommation</t>
  </si>
  <si>
    <t>Santé</t>
  </si>
  <si>
    <t>Les employeurs membres de la SCP 329.02 doivent utiliser le montant prévu par la CCT du 15 décembre 2008 et par la CCT du 30 mars 2009.</t>
    <phoneticPr fontId="3"/>
  </si>
  <si>
    <t xml:space="preserve">Montant de référence </t>
  </si>
  <si>
    <t>Frais de mission automobile, 07/2009</t>
  </si>
  <si>
    <t>Pour l'utilisation d'un cyclomoteur</t>
    <phoneticPr fontId="3"/>
  </si>
  <si>
    <t>A partir du 1er janvier</t>
    <phoneticPr fontId="3"/>
  </si>
  <si>
    <t>Index novembre x-1</t>
  </si>
  <si>
    <r>
      <rPr>
        <b/>
        <sz val="10"/>
        <rFont val="Verdana"/>
        <family val="2"/>
      </rPr>
      <t>Attention</t>
    </r>
    <r>
      <rPr>
        <sz val="10"/>
        <rFont val="Arial"/>
        <family val="2"/>
      </rPr>
      <t xml:space="preserve"> : Loi du 23/04/2015 sur la modération salariale : l'indexation ne peut se faire que sur l'indice santé </t>
    </r>
    <r>
      <rPr>
        <b/>
        <u/>
        <sz val="10"/>
        <rFont val="Verdana"/>
        <family val="2"/>
      </rPr>
      <t>lissé</t>
    </r>
  </si>
  <si>
    <t xml:space="preserve">Un arrêté Royal du 18 janvier 1965 fixe les frais de parcours résultant de déplacements pour les besoins du service de l'Etat. Certains employeurs utilisent cette référence pour indemniser leurs travailleurs. </t>
    <phoneticPr fontId="3"/>
  </si>
  <si>
    <t>A partir du 1er juillet</t>
  </si>
  <si>
    <t>Circulaire</t>
  </si>
  <si>
    <t>Arrêté Min.</t>
  </si>
  <si>
    <t>M.B.</t>
  </si>
  <si>
    <t>n° 555</t>
  </si>
  <si>
    <t>n° 561</t>
  </si>
  <si>
    <t>n° 571</t>
  </si>
  <si>
    <t>n° 583</t>
  </si>
  <si>
    <t>n° 588</t>
  </si>
  <si>
    <t>n° 596</t>
  </si>
  <si>
    <t>n° 604</t>
  </si>
  <si>
    <t>n° 609</t>
  </si>
  <si>
    <t>n°619</t>
  </si>
  <si>
    <t>n°628</t>
  </si>
  <si>
    <t>n°639</t>
  </si>
  <si>
    <t>n°646</t>
  </si>
  <si>
    <t>n° 654</t>
  </si>
  <si>
    <t>18 ans et plus</t>
  </si>
  <si>
    <t>19 ans et 6 mois d'ancienneté</t>
  </si>
  <si>
    <t>20 ans et 12 mois d'ancienneté</t>
  </si>
  <si>
    <t>Prévision +2% au 01/07/2017</t>
  </si>
  <si>
    <t>CCT du 20 mars 1997</t>
  </si>
  <si>
    <t>Plafond (BEF)</t>
  </si>
  <si>
    <t>Date de l'indexation</t>
  </si>
  <si>
    <t>Intervention de l'employeur en cas d'utilisation de la voiture personnelle</t>
  </si>
  <si>
    <t>Application de la CCT du 30/04/1997  -  AR 23/12/1997</t>
  </si>
  <si>
    <t>Plafond de rémunération pour frais de déplacement</t>
  </si>
  <si>
    <t>Barèmes</t>
  </si>
  <si>
    <t>http://www.fedweb.belgium.be/fr/remuneration_et_avantages/frais_cadre_service/frais_de_parcours</t>
  </si>
  <si>
    <t>1153,01 et 1273</t>
  </si>
  <si>
    <t>1272,01 et 1392</t>
  </si>
  <si>
    <t>3862,5 € (depuis le 1/06/2016)</t>
  </si>
  <si>
    <t xml:space="preserve">En gras </t>
  </si>
  <si>
    <t>Montants modifiés depuis la précédente mise à jour du tableau</t>
  </si>
  <si>
    <t>Montants non encore confirmés de manière officielle</t>
  </si>
  <si>
    <t>Instructions d'encodage</t>
  </si>
  <si>
    <t>Base 96</t>
  </si>
  <si>
    <t>Passage à la Base 2004 et modification panier de la ménagère au 01/01/2006</t>
  </si>
  <si>
    <t>Moyenne mobile indice santé au moment du dépassement</t>
  </si>
  <si>
    <t>Mécanisme d'indexation (art. 10 Loi sur le Volontariat, renvoi à la loi du 02/08/1971 sur la liaison à l'indice de prix à la consommation des traitements)</t>
  </si>
  <si>
    <t>Mécanisme d'indexation (CCT 20/03/1997)</t>
  </si>
  <si>
    <t>2 mois après dépassement indice pivot</t>
  </si>
  <si>
    <t>Prochain indice pivot à atteindre</t>
  </si>
  <si>
    <t>Arrondi (nombre de décimales après la virgule)</t>
  </si>
  <si>
    <t>Point décret Emploi socio-culturel</t>
  </si>
  <si>
    <t>1er janvier</t>
  </si>
  <si>
    <r>
      <t xml:space="preserve">http://www.cessoc.be/content/decret-sur-lemploi-socioculturel-du-24-10-2008-0#overlay-context=content/accords-non-marchands-en-communaute-francaise-0 </t>
    </r>
    <r>
      <rPr>
        <sz val="10"/>
        <color indexed="8"/>
        <rFont val="Arial"/>
        <family val="2"/>
      </rPr>
      <t>et</t>
    </r>
    <r>
      <rPr>
        <u/>
        <sz val="10"/>
        <color indexed="12"/>
        <rFont val="Arial"/>
        <family val="2"/>
      </rPr>
      <t xml:space="preserve"> 
http://www.cessoc.be/content/accord-du-non-marchand-en-communaute-francaise 
</t>
    </r>
    <r>
      <rPr>
        <sz val="10"/>
        <color indexed="8"/>
        <rFont val="Arial"/>
        <family val="2"/>
      </rPr>
      <t>Le montant communiqué en début d'année est calculé sur base du budget initial de la CF et est ajusté en fin d'année en fonction du budget ajusté</t>
    </r>
  </si>
  <si>
    <t>En italique surligné en jaune</t>
  </si>
  <si>
    <t>Salaire minimum garanti en SCP 329.03</t>
    <phoneticPr fontId="0" type="noConversion"/>
  </si>
  <si>
    <t>Indexation</t>
  </si>
  <si>
    <t>-</t>
  </si>
  <si>
    <t>Phase 1
01/07/2009</t>
  </si>
  <si>
    <t>Phase 2
01/01/2010</t>
  </si>
  <si>
    <t>Phase 3
01/01/2011</t>
  </si>
  <si>
    <t>Mécanisme d'indexation (CCT 30/06/2009, avec référence à la CCT 20/03/1997)</t>
  </si>
  <si>
    <t>http://www.cnt-nar.be/AVIS/avis-2005.pdf</t>
  </si>
  <si>
    <t xml:space="preserve">article 17 sexies de l'AR du 28-11-1969 pris en exécution de la loi du 27 juin 1969 révisant l'arrêté-loi du 28 décembre 1944 concernant la sécurité sociale des travailleurs - les montants de base (2003) rattachés à l'indice santé du mois de septembre 2003 (112,47). Les montants sont adaptés au 1er janvier de chaque année conformément à la formule suivante : le montant de base est multiplié par l'indice santé du mois de septembre de l'année précédant celle durant laquelle le nouveau montant sera applicable et divisé par l'indice santé du mois de septembre 2003. Au plus tard dans le courant du mois de décembre de chaque année, les montants applicables pour l'année civile suivante sont publiés au Moniteur belge. Les organismes de perception des cotisations de sécurité sociale reprennent également cette information sur leur site internet.   </t>
  </si>
  <si>
    <t>http://www.emploi.belgique.be/defaultTab.aspx?id=44663</t>
  </si>
  <si>
    <t>Voir les grilles de barèmes sur le site CESSoC</t>
  </si>
  <si>
    <t>Voir les commentaires des CCT. Le montant évolue concomitamment au montant maximum exonéré fixé par l’article 38 §1, 14° du Code des Impôts sur les Revenus (10/04/1992).</t>
  </si>
  <si>
    <t>http://www.cessoc.be/content/salaire-minimum-garanti</t>
  </si>
  <si>
    <t>Voir Outils PFA sur le site de la CESSoC</t>
  </si>
  <si>
    <t>http://www.emploi.belgique.be/defaultTab.aspx?id=41951</t>
  </si>
  <si>
    <t>Décret relatif aux aides visant à favoriser l'engagement de demandeurs d'emploi inoccupés par les pouvoirs locaux, régionaux et communautaires, par certains employeurs du secteur non marchand, de l'enseignement [...].</t>
  </si>
  <si>
    <t>Bureau fédéral du Plan - Indice des prix à la consommation - Prévisions de l'inflation</t>
  </si>
  <si>
    <t>SERVICE PUBLIC FEDERAL EMPLOI, TRAVAIL ET CONCERTATION SOCIALE - MB : 25-11-2016 Adaptation au 1er janvier 2017 des montants de rémunération prévus par la loi du 3 juillet 1978 relative aux contrats de travail à l'indice général des salaires conv</t>
  </si>
  <si>
    <t>Décret déterminant les conditions de subventionnement de l'emploi dans les secteurs socioculturels de la Communauté française  (version coordonnée au 01/07/2016)</t>
  </si>
  <si>
    <t>28 NOVEMBRE 1969. - Arrêté royal pris en exécution de la loi du 27 juin 1969 révisant l'arrêté-loi du 28 décembre 1944 concernant la sécurité sociale des travailleurs</t>
  </si>
  <si>
    <t>Dernière publication pour 2017 Arrêté royal du 11 décembre 2016 portant exécution de l’article 1409, § 2, du Code judiciaire, MB 16 décembre 2016</t>
  </si>
  <si>
    <t xml:space="preserve">Défraiement maximum 100 euros par jour </t>
  </si>
  <si>
    <t>Défraiement maximum 2.000 euros par année civile</t>
  </si>
  <si>
    <t>Défraiement maximum par jour</t>
  </si>
  <si>
    <t>Défraiement maximum par an</t>
  </si>
  <si>
    <t>Date de modification</t>
  </si>
  <si>
    <t>Dépassement de l'indice-pivot + 2 mois</t>
  </si>
  <si>
    <t>1er janvier après dépassement de l'indice pivot</t>
  </si>
  <si>
    <t>Irrégulier</t>
  </si>
  <si>
    <t>1er juillet</t>
  </si>
  <si>
    <t>Base/Basis</t>
  </si>
  <si>
    <t>Maand/Mois</t>
  </si>
  <si>
    <t>Année/Jaar</t>
  </si>
  <si>
    <t>Santé lissé</t>
  </si>
  <si>
    <t>De gezondheidsindex</t>
  </si>
  <si>
    <t>Historiek vanaf 1994 tot heden</t>
  </si>
  <si>
    <t>*************************************</t>
  </si>
  <si>
    <t>L'Indice santé</t>
  </si>
  <si>
    <t>Historique de 1994 à nos jours</t>
  </si>
  <si>
    <t>Loi 23/04/2015 - indice santé lissé</t>
  </si>
  <si>
    <t>Loi 23/04/2015</t>
  </si>
  <si>
    <t>Mécanisme d'indexation (CCT)</t>
  </si>
  <si>
    <t xml:space="preserve">1er janvier </t>
  </si>
  <si>
    <t>Indice santé lissé novembre x-1 / indice santé lissé novembre 2008</t>
  </si>
  <si>
    <t>http://finances.belgium.be/sites/default/files/downloads/702-indexation-automatique-2018.pdf</t>
  </si>
  <si>
    <t>0,343 €/km</t>
  </si>
  <si>
    <t>0,166 €/km</t>
  </si>
  <si>
    <t>2012 lissé</t>
  </si>
  <si>
    <t>2013 lissé</t>
  </si>
  <si>
    <t>2014 lissé</t>
  </si>
  <si>
    <t>2015 lissé</t>
  </si>
  <si>
    <t>2016 lissé</t>
  </si>
  <si>
    <t>2017 lissé</t>
  </si>
  <si>
    <t>Blocage de l'index au niveau de mars 2015</t>
  </si>
  <si>
    <t>Calcul de l'indice santé lissé sur 98 % àpd avril 2016</t>
  </si>
  <si>
    <t>Passage à la Base 2013 et loi du 25/04/2014 sur la compétitivité (indice santé lissé, limité à 98%)</t>
  </si>
  <si>
    <t>Bureau du Plan</t>
  </si>
  <si>
    <r>
      <t xml:space="preserve">Définition : Art. 4 de la CCT : </t>
    </r>
    <r>
      <rPr>
        <i/>
        <sz val="10"/>
        <rFont val="Arial"/>
        <family val="2"/>
      </rPr>
      <t>"Par "indices-pivots" on entend : les nombres appartenant à une série dont le premier est 102,02 (base 1988 = 100) et dont chacun des suivants est obtenu en multipliant le précédent par 1,02, arrondi à la deuxième décimale."</t>
    </r>
  </si>
  <si>
    <t>MB du 30-05-2017 - Arrêté royal du 17 mai 2017 fixant le montant minimal de la rémunération dont il faut bénéficier pour être considéré comme sportif rémunéré</t>
  </si>
  <si>
    <t>Plafond  (Euros)</t>
  </si>
  <si>
    <t xml:space="preserve"> +2% au 01/07/2017</t>
  </si>
  <si>
    <t>3939,70 € (depuis le 1/06/2017)</t>
  </si>
  <si>
    <t>n° 660</t>
  </si>
  <si>
    <t>23-juin-217</t>
  </si>
  <si>
    <t>Dépassement de l'indice-pivot + 1 mois (01/06/2017)</t>
  </si>
  <si>
    <t>n.a.</t>
  </si>
  <si>
    <t>Prévision +2% en 2019</t>
  </si>
  <si>
    <r>
      <t>1</t>
    </r>
    <r>
      <rPr>
        <vertAlign val="superscript"/>
        <sz val="10"/>
        <rFont val="Arial"/>
        <family val="2"/>
      </rPr>
      <t>er</t>
    </r>
    <r>
      <rPr>
        <sz val="10"/>
        <rFont val="Arial"/>
        <family val="2"/>
      </rPr>
      <t xml:space="preserve"> septembre 2018 si AR</t>
    </r>
  </si>
  <si>
    <t xml:space="preserve"> 0,346 €/km </t>
  </si>
  <si>
    <t>http://www.emploi.belgique.be/defaultNews.aspx?id=46585</t>
  </si>
  <si>
    <t>http://www.ejustice.just.fgov.be/cgi/article_body.pl?language=fr&amp;caller=summary&amp;pub_date=2018-01-05&amp;numac=2017206323</t>
  </si>
  <si>
    <t>http://www.riziv.fgov.be/fr/themes/incapacite-travail/montants/salaries-chomeurs/Pages/indemnite-autorisee-travail-volontaire.aspx - .WlSXp4qDMkg</t>
  </si>
  <si>
    <t>2 534,11</t>
  </si>
  <si>
    <t>1105,01 et 1187</t>
  </si>
  <si>
    <t>1187,01 et 1309</t>
  </si>
  <si>
    <t>1309,01 et 1432</t>
  </si>
  <si>
    <t>0,3573 €/km</t>
  </si>
  <si>
    <t>0,3491 €/km</t>
  </si>
  <si>
    <t>0,1689 €/km</t>
  </si>
  <si>
    <t>n°666</t>
  </si>
  <si>
    <t xml:space="preserve"> +2% au 01/10/2018</t>
  </si>
  <si>
    <t>Défraiement maximum par jour (sportifs)</t>
  </si>
  <si>
    <t>Défraiement maximum par an (sportifs)</t>
  </si>
  <si>
    <t>2018 lissé</t>
  </si>
  <si>
    <t>2019 sportifs</t>
  </si>
  <si>
    <t>0,3565 €/km</t>
  </si>
  <si>
    <t>0,1725 €/km</t>
  </si>
  <si>
    <t>1128,01 et 1212</t>
  </si>
  <si>
    <t>1212,01 et 1337</t>
  </si>
  <si>
    <t>1337,01 et 1462</t>
  </si>
  <si>
    <t>Travail associatif</t>
  </si>
  <si>
    <t>Indemnité maximum par mois</t>
  </si>
  <si>
    <t>Indemnité maximum par an</t>
  </si>
  <si>
    <t>Indemnité maximum par mois (sportifs)</t>
  </si>
  <si>
    <t>0,3653 €/km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</si>
</sst>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_ ;_ * \(#,##0.00\)\ _€_ ;_ * &quot;-&quot;??_)\ _€_ ;_ @_ "/>
    <numFmt numFmtId="164" formatCode="#,##0.00\ &quot;€&quot;;[Red]\-#,##0.00\ &quot;€&quot;"/>
    <numFmt numFmtId="165" formatCode="_-* #,##0.00&quot; €&quot;_-;\-* #,##0.00&quot; €&quot;_-;_-* &quot;-&quot;??&quot; €&quot;_-;_-@_-"/>
    <numFmt numFmtId="166" formatCode="d/mm/yyyy"/>
    <numFmt numFmtId="167" formatCode="#,##0.0000"/>
    <numFmt numFmtId="168" formatCode="#,##0.00\ &quot;€&quot;"/>
    <numFmt numFmtId="169" formatCode="#,##0\ &quot;€&quot;"/>
    <numFmt numFmtId="170" formatCode="0.0000"/>
    <numFmt numFmtId="171" formatCode="#,##0.0000&quot; €&quot;"/>
    <numFmt numFmtId="172" formatCode="[$-80C]dd\-mmm\-yy;@"/>
    <numFmt numFmtId="173" formatCode="[$-80C]d\ mmmm\ yyyy;@"/>
    <numFmt numFmtId="174" formatCode="#,##0.00000\ &quot;€&quot;"/>
    <numFmt numFmtId="175" formatCode="0.000"/>
    <numFmt numFmtId="176" formatCode="_-* #,##0.000&quot; €&quot;_-;\-* #,##0.000&quot; €&quot;_-;_-* &quot;-&quot;??&quot; €&quot;_-;_-@_-"/>
  </numFmts>
  <fonts count="49">
    <font>
      <sz val="10"/>
      <name val="Arial"/>
      <family val="2"/>
    </font>
    <font>
      <sz val="10"/>
      <name val="Arial"/>
      <family val="2"/>
    </font>
    <font>
      <b/>
      <sz val="10"/>
      <name val="Arial"/>
      <family val="2"/>
    </font>
    <font>
      <b/>
      <sz val="10"/>
      <color indexed="16"/>
      <name val="Arial"/>
      <family val="2"/>
    </font>
    <font>
      <b/>
      <sz val="8"/>
      <color indexed="8"/>
      <name val="Times New Roman"/>
      <family val="1"/>
    </font>
    <font>
      <sz val="10"/>
      <color indexed="8"/>
      <name val="Times New Roman"/>
      <family val="1"/>
    </font>
    <font>
      <u/>
      <sz val="10"/>
      <color indexed="12"/>
      <name val="Arial"/>
      <family val="2"/>
    </font>
    <font>
      <vertAlign val="superscript"/>
      <sz val="10"/>
      <name val="Arial"/>
      <family val="2"/>
    </font>
    <font>
      <sz val="10"/>
      <color indexed="8"/>
      <name val="Arial"/>
      <family val="2"/>
    </font>
    <font>
      <sz val="8"/>
      <name val="Verdana"/>
      <family val="2"/>
    </font>
    <font>
      <sz val="10"/>
      <name val="Arial"/>
      <family val="2"/>
    </font>
    <font>
      <sz val="10"/>
      <name val="Frutiger LT Std 45 Light"/>
    </font>
    <font>
      <vertAlign val="superscript"/>
      <sz val="10"/>
      <name val="Frutiger LT Std 45 Light"/>
    </font>
    <font>
      <strike/>
      <sz val="10"/>
      <name val="Arial"/>
      <family val="2"/>
    </font>
    <font>
      <sz val="10"/>
      <name val="Verdana"/>
      <family val="2"/>
    </font>
    <font>
      <b/>
      <sz val="14"/>
      <name val="Verdana"/>
      <family val="2"/>
    </font>
    <font>
      <b/>
      <sz val="10"/>
      <name val="Verdana"/>
      <family val="2"/>
    </font>
    <font>
      <b/>
      <u/>
      <sz val="10"/>
      <name val="Verdana"/>
      <family val="2"/>
    </font>
    <font>
      <sz val="10"/>
      <name val="L Frutiger Light"/>
    </font>
    <font>
      <sz val="8"/>
      <name val="L Frutiger Light"/>
    </font>
    <font>
      <sz val="18"/>
      <name val="L Frutiger Light"/>
    </font>
    <font>
      <i/>
      <sz val="10"/>
      <name val="Arial"/>
      <family val="2"/>
    </font>
    <font>
      <b/>
      <i/>
      <sz val="10"/>
      <name val="Arial"/>
      <family val="2"/>
    </font>
    <font>
      <sz val="16"/>
      <name val="Helvetica Neue"/>
      <family val="2"/>
    </font>
    <font>
      <b/>
      <sz val="36"/>
      <name val="Lucida Fax"/>
      <family val="1"/>
    </font>
    <font>
      <sz val="36"/>
      <name val="BahamasHeavy"/>
    </font>
    <font>
      <b/>
      <sz val="22"/>
      <name val="Times New Roman"/>
      <family val="1"/>
    </font>
    <font>
      <b/>
      <sz val="16"/>
      <name val="Arial"/>
      <family val="2"/>
    </font>
    <font>
      <sz val="12"/>
      <color theme="1"/>
      <name val="Calibri"/>
      <family val="2"/>
      <scheme val="minor"/>
    </font>
    <font>
      <sz val="12"/>
      <color theme="0"/>
      <name val="Calibri"/>
      <family val="2"/>
      <scheme val="minor"/>
    </font>
    <font>
      <b/>
      <sz val="10"/>
      <color rgb="FFFF0000"/>
      <name val="Arial"/>
      <family val="2"/>
    </font>
    <font>
      <b/>
      <sz val="10"/>
      <color rgb="FFFF0000"/>
      <name val="Frutiger LT Std 45 Light"/>
    </font>
    <font>
      <sz val="10"/>
      <color rgb="FFFF0000"/>
      <name val="Arial"/>
      <family val="2"/>
    </font>
    <font>
      <b/>
      <sz val="12"/>
      <color theme="0"/>
      <name val="Arial"/>
      <family val="2"/>
    </font>
    <font>
      <b/>
      <sz val="10"/>
      <color theme="0"/>
      <name val="Arial"/>
      <family val="2"/>
    </font>
    <font>
      <b/>
      <sz val="10"/>
      <color theme="0"/>
      <name val="Verdana"/>
      <family val="2"/>
    </font>
    <font>
      <sz val="10"/>
      <color theme="0"/>
      <name val="Arial"/>
      <family val="2"/>
    </font>
    <font>
      <sz val="12"/>
      <color theme="1"/>
      <name val="Helvetica Neue"/>
      <family val="2"/>
    </font>
    <font>
      <sz val="10"/>
      <color theme="1"/>
      <name val="Arial"/>
      <family val="2"/>
    </font>
    <font>
      <b/>
      <sz val="10"/>
      <color theme="1"/>
      <name val="Arial"/>
      <family val="2"/>
    </font>
    <font>
      <sz val="10"/>
      <color theme="1"/>
      <name val="Verdana"/>
      <family val="2"/>
    </font>
    <font>
      <sz val="10"/>
      <color theme="0"/>
      <name val="Verdana"/>
      <family val="2"/>
    </font>
    <font>
      <b/>
      <i/>
      <sz val="10"/>
      <color theme="1"/>
      <name val="Arial"/>
      <family val="2"/>
    </font>
    <font>
      <sz val="10"/>
      <color theme="0" tint="-0.499984740745262"/>
      <name val="Arial"/>
      <family val="2"/>
    </font>
    <font>
      <b/>
      <sz val="12"/>
      <color theme="8" tint="-0.499984740745262"/>
      <name val="Arial"/>
      <family val="2"/>
    </font>
    <font>
      <i/>
      <sz val="10"/>
      <color theme="1"/>
      <name val="Arial"/>
      <family val="2"/>
    </font>
    <font>
      <sz val="10"/>
      <color rgb="FFFF0000"/>
      <name val="Verdana"/>
      <family val="2"/>
    </font>
    <font>
      <b/>
      <sz val="14"/>
      <color theme="3"/>
      <name val="Arial"/>
      <family val="2"/>
    </font>
    <font>
      <sz val="12"/>
      <color theme="0"/>
      <name val="Calibri"/>
      <family val="2"/>
    </font>
  </fonts>
  <fills count="11">
    <fill>
      <patternFill patternType="none"/>
    </fill>
    <fill>
      <patternFill patternType="gray125"/>
    </fill>
    <fill>
      <patternFill patternType="solid">
        <fgColor indexed="9"/>
        <bgColor indexed="9"/>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8" tint="-0.499984740745262"/>
        <bgColor indexed="64"/>
      </patternFill>
    </fill>
    <fill>
      <patternFill patternType="solid">
        <fgColor theme="0"/>
        <bgColor indexed="64"/>
      </patternFill>
    </fill>
    <fill>
      <patternFill patternType="solid">
        <fgColor theme="9" tint="0.59999389629810485"/>
        <bgColor indexed="64"/>
      </patternFill>
    </fill>
    <fill>
      <patternFill patternType="solid">
        <fgColor rgb="FFD835DA"/>
        <bgColor indexed="64"/>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bottom style="thin">
        <color indexed="64"/>
      </bottom>
      <diagonal/>
    </border>
    <border>
      <left style="thin">
        <color indexed="8"/>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medium">
        <color theme="0"/>
      </left>
      <right style="medium">
        <color theme="0"/>
      </right>
      <top style="medium">
        <color theme="0"/>
      </top>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style="thin">
        <color theme="0"/>
      </left>
      <right style="thin">
        <color theme="0"/>
      </right>
      <top style="thin">
        <color theme="0"/>
      </top>
      <bottom/>
      <diagonal/>
    </border>
    <border>
      <left style="thin">
        <color indexed="64"/>
      </left>
      <right style="thin">
        <color indexed="64"/>
      </right>
      <top style="thin">
        <color theme="1"/>
      </top>
      <bottom style="thin">
        <color indexed="64"/>
      </bottom>
      <diagonal/>
    </border>
    <border>
      <left style="thin">
        <color theme="1"/>
      </left>
      <right style="medium">
        <color theme="1"/>
      </right>
      <top style="thin">
        <color theme="1"/>
      </top>
      <bottom style="medium">
        <color theme="1"/>
      </bottom>
      <diagonal/>
    </border>
    <border>
      <left style="thin">
        <color theme="1"/>
      </left>
      <right style="medium">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medium">
        <color theme="1"/>
      </bottom>
      <diagonal/>
    </border>
    <border>
      <left/>
      <right style="mediumDashed">
        <color rgb="FFFF0000"/>
      </right>
      <top style="mediumDashed">
        <color rgb="FFFF0000"/>
      </top>
      <bottom style="mediumDashed">
        <color rgb="FFFF0000"/>
      </bottom>
      <diagonal/>
    </border>
    <border>
      <left style="thin">
        <color indexed="64"/>
      </left>
      <right/>
      <top style="thin">
        <color theme="1"/>
      </top>
      <bottom style="thin">
        <color indexed="64"/>
      </bottom>
      <diagonal/>
    </border>
    <border>
      <left style="thin">
        <color theme="0"/>
      </left>
      <right/>
      <top style="thin">
        <color theme="0"/>
      </top>
      <bottom style="thin">
        <color theme="0"/>
      </bottom>
      <diagonal/>
    </border>
    <border>
      <left style="mediumDashDot">
        <color rgb="FFFF0000"/>
      </left>
      <right style="mediumDashDot">
        <color rgb="FFFF0000"/>
      </right>
      <top/>
      <bottom/>
      <diagonal/>
    </border>
    <border>
      <left style="mediumDashDot">
        <color rgb="FFFF0000"/>
      </left>
      <right style="mediumDashDot">
        <color rgb="FFFF0000"/>
      </right>
      <top style="thin">
        <color indexed="64"/>
      </top>
      <bottom style="thin">
        <color indexed="64"/>
      </bottom>
      <diagonal/>
    </border>
    <border>
      <left style="mediumDashDot">
        <color rgb="FFFF0000"/>
      </left>
      <right style="mediumDashDot">
        <color rgb="FFFF0000"/>
      </right>
      <top style="thin">
        <color indexed="64"/>
      </top>
      <bottom style="mediumDashDot">
        <color rgb="FFFF0000"/>
      </bottom>
      <diagonal/>
    </border>
    <border>
      <left style="mediumDashDot">
        <color rgb="FFFF0000"/>
      </left>
      <right style="thin">
        <color theme="0"/>
      </right>
      <top style="thin">
        <color indexed="64"/>
      </top>
      <bottom style="thin">
        <color indexed="64"/>
      </bottom>
      <diagonal/>
    </border>
    <border>
      <left/>
      <right style="thin">
        <color theme="0"/>
      </right>
      <top style="thin">
        <color theme="0"/>
      </top>
      <bottom/>
      <diagonal/>
    </border>
    <border>
      <left style="mediumDashDot">
        <color rgb="FFFF0000"/>
      </left>
      <right style="thin">
        <color theme="0"/>
      </right>
      <top style="thin">
        <color theme="0"/>
      </top>
      <bottom style="thin">
        <color theme="0"/>
      </bottom>
      <diagonal/>
    </border>
    <border>
      <left style="thin">
        <color theme="1"/>
      </left>
      <right/>
      <top style="thin">
        <color theme="1"/>
      </top>
      <bottom style="thin">
        <color theme="1"/>
      </bottom>
      <diagonal/>
    </border>
    <border>
      <left/>
      <right/>
      <top style="thin">
        <color theme="0"/>
      </top>
      <bottom style="thin">
        <color theme="0"/>
      </bottom>
      <diagonal/>
    </border>
    <border>
      <left style="medium">
        <color theme="8" tint="-0.499984740745262"/>
      </left>
      <right style="thin">
        <color theme="1"/>
      </right>
      <top style="medium">
        <color theme="8" tint="-0.499984740745262"/>
      </top>
      <bottom style="medium">
        <color theme="8" tint="-0.499984740745262"/>
      </bottom>
      <diagonal/>
    </border>
    <border>
      <left style="thin">
        <color theme="1"/>
      </left>
      <right style="thin">
        <color theme="1"/>
      </right>
      <top style="medium">
        <color theme="8" tint="-0.499984740745262"/>
      </top>
      <bottom style="medium">
        <color theme="8" tint="-0.499984740745262"/>
      </bottom>
      <diagonal/>
    </border>
    <border>
      <left style="thin">
        <color theme="1"/>
      </left>
      <right style="medium">
        <color theme="8" tint="-0.499984740745262"/>
      </right>
      <top style="medium">
        <color theme="8" tint="-0.499984740745262"/>
      </top>
      <bottom style="medium">
        <color theme="8" tint="-0.499984740745262"/>
      </bottom>
      <diagonal/>
    </border>
    <border>
      <left style="medium">
        <color theme="1"/>
      </left>
      <right style="thin">
        <color theme="1"/>
      </right>
      <top/>
      <bottom style="thin">
        <color theme="1"/>
      </bottom>
      <diagonal/>
    </border>
    <border>
      <left style="medium">
        <color theme="1"/>
      </left>
      <right style="thin">
        <color theme="1"/>
      </right>
      <top style="thin">
        <color theme="1"/>
      </top>
      <bottom style="medium">
        <color theme="1"/>
      </bottom>
      <diagonal/>
    </border>
    <border>
      <left style="thin">
        <color theme="0"/>
      </left>
      <right/>
      <top/>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DashDot">
        <color rgb="FFFF0000"/>
      </left>
      <right/>
      <top/>
      <bottom/>
      <diagonal/>
    </border>
    <border>
      <left style="mediumDashDot">
        <color rgb="FFFF0000"/>
      </left>
      <right/>
      <top style="thin">
        <color indexed="64"/>
      </top>
      <bottom style="thin">
        <color indexed="64"/>
      </bottom>
      <diagonal/>
    </border>
    <border>
      <left style="mediumDashDot">
        <color rgb="FFFF0000"/>
      </left>
      <right/>
      <top style="thin">
        <color indexed="64"/>
      </top>
      <bottom/>
      <diagonal/>
    </border>
    <border>
      <left style="mediumDashDotDot">
        <color rgb="FFFF0000"/>
      </left>
      <right/>
      <top style="thin">
        <color indexed="64"/>
      </top>
      <bottom style="thin">
        <color indexed="64"/>
      </bottom>
      <diagonal/>
    </border>
  </borders>
  <cellStyleXfs count="8">
    <xf numFmtId="0" fontId="0" fillId="0" borderId="0"/>
    <xf numFmtId="0" fontId="6" fillId="0" borderId="0" applyNumberFormat="0" applyFill="0" applyBorder="0" applyAlignment="0" applyProtection="0"/>
    <xf numFmtId="165" fontId="1" fillId="0" borderId="0" applyFill="0" applyBorder="0" applyAlignment="0" applyProtection="0"/>
    <xf numFmtId="165" fontId="10" fillId="0" borderId="0" applyFill="0" applyBorder="0" applyAlignment="0" applyProtection="0"/>
    <xf numFmtId="0" fontId="14" fillId="0" borderId="0"/>
    <xf numFmtId="0" fontId="10" fillId="0" borderId="0"/>
    <xf numFmtId="0" fontId="28" fillId="0" borderId="0"/>
    <xf numFmtId="0" fontId="10" fillId="0" borderId="0"/>
  </cellStyleXfs>
  <cellXfs count="459">
    <xf numFmtId="0" fontId="0" fillId="0" borderId="0" xfId="0"/>
    <xf numFmtId="0" fontId="0" fillId="0" borderId="0" xfId="0" applyAlignment="1">
      <alignment vertical="center" wrapText="1"/>
    </xf>
    <xf numFmtId="4" fontId="0" fillId="0" borderId="0" xfId="0" applyNumberFormat="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pplyAlignment="1">
      <alignment vertical="center" wrapText="1"/>
    </xf>
    <xf numFmtId="4" fontId="0" fillId="0" borderId="1" xfId="0" applyNumberFormat="1" applyBorder="1" applyAlignment="1">
      <alignment horizontal="center" vertical="center" wrapText="1"/>
    </xf>
    <xf numFmtId="4" fontId="0" fillId="0" borderId="0" xfId="0" applyNumberFormat="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6" fillId="0" borderId="0" xfId="1" applyBorder="1" applyAlignment="1">
      <alignment vertical="center" wrapText="1"/>
    </xf>
    <xf numFmtId="4" fontId="0" fillId="0" borderId="1" xfId="0" applyNumberFormat="1" applyFont="1" applyBorder="1" applyAlignment="1">
      <alignment horizontal="center" vertical="center" wrapText="1"/>
    </xf>
    <xf numFmtId="4" fontId="0" fillId="0" borderId="2" xfId="0" applyNumberFormat="1" applyFont="1" applyBorder="1" applyAlignment="1">
      <alignment horizontal="center" vertical="center" wrapText="1"/>
    </xf>
    <xf numFmtId="0" fontId="30" fillId="0" borderId="0" xfId="0" applyFont="1" applyFill="1" applyAlignment="1">
      <alignment vertical="center" wrapText="1"/>
    </xf>
    <xf numFmtId="0" fontId="0" fillId="0" borderId="0" xfId="0" quotePrefix="1"/>
    <xf numFmtId="0" fontId="0" fillId="3" borderId="1" xfId="0" applyFill="1" applyBorder="1"/>
    <xf numFmtId="165" fontId="10" fillId="0" borderId="1" xfId="3" applyBorder="1"/>
    <xf numFmtId="0" fontId="0" fillId="0" borderId="1" xfId="0" applyBorder="1"/>
    <xf numFmtId="0" fontId="15" fillId="0" borderId="3" xfId="4" applyFont="1" applyBorder="1"/>
    <xf numFmtId="0" fontId="14" fillId="0" borderId="3" xfId="4" applyBorder="1"/>
    <xf numFmtId="0" fontId="14" fillId="0" borderId="0" xfId="4"/>
    <xf numFmtId="0" fontId="15" fillId="0" borderId="0" xfId="4" applyFont="1" applyBorder="1"/>
    <xf numFmtId="0" fontId="14" fillId="0" borderId="0" xfId="4" applyBorder="1"/>
    <xf numFmtId="0" fontId="14" fillId="0" borderId="1" xfId="4" applyBorder="1"/>
    <xf numFmtId="170" fontId="14" fillId="0" borderId="1" xfId="4" applyNumberFormat="1" applyBorder="1"/>
    <xf numFmtId="15" fontId="14" fillId="0" borderId="1" xfId="4" applyNumberFormat="1" applyBorder="1"/>
    <xf numFmtId="170" fontId="14" fillId="4" borderId="1" xfId="4" applyNumberFormat="1" applyFill="1" applyBorder="1"/>
    <xf numFmtId="170" fontId="14" fillId="0" borderId="0" xfId="4" applyNumberFormat="1"/>
    <xf numFmtId="0" fontId="14" fillId="0" borderId="1" xfId="4" applyFill="1" applyBorder="1"/>
    <xf numFmtId="0" fontId="16" fillId="0" borderId="0" xfId="4" applyFont="1"/>
    <xf numFmtId="15" fontId="14" fillId="0" borderId="0" xfId="4" applyNumberFormat="1"/>
    <xf numFmtId="171" fontId="14" fillId="0" borderId="4" xfId="4" applyNumberFormat="1" applyBorder="1"/>
    <xf numFmtId="171" fontId="14" fillId="0" borderId="1" xfId="4" applyNumberFormat="1" applyBorder="1"/>
    <xf numFmtId="171" fontId="14" fillId="0" borderId="1" xfId="4" applyNumberFormat="1" applyFill="1" applyBorder="1"/>
    <xf numFmtId="168" fontId="0" fillId="0" borderId="0" xfId="0" applyNumberFormat="1" applyAlignment="1">
      <alignment vertical="center" wrapText="1"/>
    </xf>
    <xf numFmtId="0" fontId="14" fillId="0" borderId="0" xfId="4" applyAlignment="1">
      <alignment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18" fillId="0" borderId="0" xfId="4" applyFont="1"/>
    <xf numFmtId="0" fontId="19" fillId="0" borderId="0" xfId="4" applyFont="1"/>
    <xf numFmtId="0" fontId="18" fillId="0" borderId="3" xfId="4" applyFont="1" applyBorder="1"/>
    <xf numFmtId="0" fontId="20" fillId="0" borderId="3" xfId="4" applyFont="1" applyBorder="1"/>
    <xf numFmtId="0" fontId="0" fillId="0" borderId="0" xfId="0" applyFill="1"/>
    <xf numFmtId="0" fontId="30" fillId="0" borderId="0" xfId="0" applyFont="1" applyFill="1"/>
    <xf numFmtId="0" fontId="14" fillId="0" borderId="5" xfId="4" applyBorder="1" applyAlignment="1">
      <alignment vertical="center"/>
    </xf>
    <xf numFmtId="0" fontId="14" fillId="0" borderId="2" xfId="4" applyBorder="1" applyAlignment="1">
      <alignment vertical="center"/>
    </xf>
    <xf numFmtId="0" fontId="0" fillId="0" borderId="1" xfId="0" applyFont="1" applyBorder="1" applyAlignment="1">
      <alignment horizontal="left" vertical="center" wrapText="1"/>
    </xf>
    <xf numFmtId="0" fontId="2" fillId="0" borderId="1" xfId="0" applyFont="1" applyBorder="1" applyAlignment="1">
      <alignment horizontal="left" vertical="center" wrapText="1"/>
    </xf>
    <xf numFmtId="4" fontId="0"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vertical="center" wrapText="1"/>
    </xf>
    <xf numFmtId="167" fontId="0" fillId="0" borderId="1" xfId="0" applyNumberFormat="1" applyFont="1" applyBorder="1" applyAlignment="1">
      <alignment horizontal="center" vertical="center" wrapText="1"/>
    </xf>
    <xf numFmtId="167" fontId="0" fillId="0" borderId="1" xfId="0" applyNumberFormat="1" applyBorder="1" applyAlignment="1">
      <alignment horizontal="center" vertical="center" wrapText="1"/>
    </xf>
    <xf numFmtId="167" fontId="0"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2" fontId="0" fillId="0" borderId="1" xfId="0" applyNumberFormat="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4" fontId="0" fillId="0" borderId="1" xfId="0" applyNumberFormat="1" applyFill="1" applyBorder="1" applyAlignment="1">
      <alignment horizontal="center" vertical="center" wrapText="1"/>
    </xf>
    <xf numFmtId="167" fontId="0" fillId="0" borderId="1" xfId="0" applyNumberFormat="1" applyFill="1" applyBorder="1" applyAlignment="1">
      <alignment horizontal="center" vertical="center" wrapText="1"/>
    </xf>
    <xf numFmtId="0" fontId="2" fillId="0" borderId="1" xfId="0" applyFont="1" applyFill="1" applyBorder="1" applyAlignment="1">
      <alignment vertical="center" wrapText="1"/>
    </xf>
    <xf numFmtId="168" fontId="0" fillId="0" borderId="1" xfId="0" applyNumberFormat="1" applyFont="1" applyBorder="1" applyAlignment="1">
      <alignment horizontal="center" vertical="center" wrapText="1"/>
    </xf>
    <xf numFmtId="0" fontId="6" fillId="0" borderId="1" xfId="1" applyBorder="1" applyAlignment="1">
      <alignment vertical="center" wrapText="1"/>
    </xf>
    <xf numFmtId="0" fontId="0" fillId="0" borderId="1" xfId="0" applyFont="1" applyFill="1" applyBorder="1" applyAlignment="1">
      <alignment horizontal="center" vertical="center" wrapText="1"/>
    </xf>
    <xf numFmtId="0" fontId="6" fillId="0" borderId="1" xfId="1" applyFill="1" applyBorder="1" applyAlignment="1">
      <alignment vertical="center" wrapText="1"/>
    </xf>
    <xf numFmtId="0" fontId="0" fillId="5" borderId="1" xfId="0" applyFill="1" applyBorder="1" applyAlignment="1">
      <alignment vertical="center" wrapText="1"/>
    </xf>
    <xf numFmtId="0" fontId="0" fillId="0" borderId="1" xfId="0" applyFill="1" applyBorder="1" applyAlignment="1">
      <alignment vertical="center" wrapText="1"/>
    </xf>
    <xf numFmtId="4" fontId="3" fillId="0" borderId="1" xfId="0" applyNumberFormat="1" applyFont="1" applyFill="1" applyBorder="1" applyAlignment="1">
      <alignment horizontal="center" vertical="center" wrapText="1"/>
    </xf>
    <xf numFmtId="0" fontId="30" fillId="0" borderId="1" xfId="0" applyFont="1" applyFill="1" applyBorder="1" applyAlignment="1">
      <alignment vertical="center" wrapText="1"/>
    </xf>
    <xf numFmtId="4" fontId="8" fillId="0" borderId="1" xfId="0" applyNumberFormat="1" applyFont="1" applyFill="1" applyBorder="1" applyAlignment="1">
      <alignment horizontal="center" vertical="center" wrapText="1"/>
    </xf>
    <xf numFmtId="4" fontId="0" fillId="0" borderId="1" xfId="0" quotePrefix="1" applyNumberFormat="1" applyBorder="1" applyAlignment="1">
      <alignment horizontal="center" vertical="center" wrapText="1"/>
    </xf>
    <xf numFmtId="4" fontId="0" fillId="0" borderId="1" xfId="0" quotePrefix="1" applyNumberFormat="1" applyFont="1" applyBorder="1" applyAlignment="1">
      <alignment horizontal="center" vertical="center" wrapText="1"/>
    </xf>
    <xf numFmtId="0" fontId="6" fillId="0" borderId="1" xfId="1" applyFill="1" applyBorder="1" applyAlignment="1">
      <alignment horizontal="left" vertical="center" wrapText="1"/>
    </xf>
    <xf numFmtId="167" fontId="3" fillId="0"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167" fontId="30" fillId="0" borderId="1" xfId="0" applyNumberFormat="1" applyFont="1" applyFill="1" applyBorder="1" applyAlignment="1">
      <alignment horizontal="center" vertical="center" wrapText="1"/>
    </xf>
    <xf numFmtId="2" fontId="31" fillId="0" borderId="1" xfId="0" applyNumberFormat="1" applyFont="1" applyBorder="1" applyAlignment="1">
      <alignment horizontal="justify" vertical="center" wrapText="1"/>
    </xf>
    <xf numFmtId="164" fontId="31" fillId="0" borderId="1" xfId="0" applyNumberFormat="1" applyFont="1" applyBorder="1" applyAlignment="1">
      <alignment horizontal="center" vertical="center" wrapText="1"/>
    </xf>
    <xf numFmtId="3" fontId="0" fillId="0" borderId="1" xfId="0" applyNumberFormat="1" applyFont="1" applyFill="1" applyBorder="1" applyAlignment="1">
      <alignment horizontal="center" vertical="center" wrapText="1"/>
    </xf>
    <xf numFmtId="169" fontId="0" fillId="0" borderId="1" xfId="0" applyNumberFormat="1" applyFont="1" applyFill="1" applyBorder="1" applyAlignment="1">
      <alignment horizontal="center" vertical="center" wrapText="1"/>
    </xf>
    <xf numFmtId="14" fontId="0" fillId="0" borderId="1" xfId="0" applyNumberFormat="1" applyBorder="1" applyAlignment="1">
      <alignment horizontal="justify" vertical="center" wrapText="1"/>
    </xf>
    <xf numFmtId="0" fontId="32" fillId="0" borderId="1" xfId="0" applyFont="1" applyBorder="1" applyAlignment="1">
      <alignment vertical="center" wrapText="1"/>
    </xf>
    <xf numFmtId="4" fontId="3" fillId="0" borderId="1" xfId="0" applyNumberFormat="1" applyFont="1" applyBorder="1" applyAlignment="1">
      <alignment horizontal="center" vertical="center" wrapText="1"/>
    </xf>
    <xf numFmtId="4" fontId="0" fillId="0" borderId="2" xfId="0" applyNumberFormat="1" applyFont="1" applyFill="1" applyBorder="1" applyAlignment="1">
      <alignment horizontal="center" vertical="center" wrapText="1"/>
    </xf>
    <xf numFmtId="0" fontId="0" fillId="0" borderId="2" xfId="0" applyBorder="1" applyAlignment="1">
      <alignment vertical="center" wrapText="1"/>
    </xf>
    <xf numFmtId="0" fontId="33" fillId="6" borderId="22" xfId="0" applyNumberFormat="1"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22"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2" xfId="0" applyFont="1" applyFill="1" applyBorder="1" applyAlignment="1">
      <alignment vertical="center" wrapText="1"/>
    </xf>
    <xf numFmtId="0" fontId="33" fillId="6" borderId="0" xfId="0" applyFont="1" applyFill="1" applyBorder="1" applyAlignment="1">
      <alignment horizontal="center" vertical="center" wrapText="1"/>
    </xf>
    <xf numFmtId="0" fontId="33" fillId="6" borderId="0" xfId="0" applyNumberFormat="1" applyFont="1" applyFill="1" applyBorder="1" applyAlignment="1">
      <alignment horizontal="center" vertical="center" wrapText="1"/>
    </xf>
    <xf numFmtId="0" fontId="33" fillId="6" borderId="0" xfId="0" applyFont="1" applyFill="1" applyBorder="1" applyAlignment="1">
      <alignment vertical="center" wrapText="1"/>
    </xf>
    <xf numFmtId="14" fontId="33" fillId="6" borderId="0" xfId="0" applyNumberFormat="1" applyFont="1" applyFill="1" applyBorder="1" applyAlignment="1">
      <alignment horizontal="center" vertical="center" wrapText="1"/>
    </xf>
    <xf numFmtId="0" fontId="33" fillId="6" borderId="23" xfId="0" applyFont="1" applyFill="1" applyBorder="1" applyAlignment="1">
      <alignment horizontal="center" vertical="center" wrapText="1"/>
    </xf>
    <xf numFmtId="0" fontId="2" fillId="0" borderId="24" xfId="0" applyFont="1" applyBorder="1" applyAlignment="1">
      <alignment vertical="center" wrapText="1"/>
    </xf>
    <xf numFmtId="4" fontId="0" fillId="0" borderId="0" xfId="0" applyNumberFormat="1" applyBorder="1" applyAlignment="1">
      <alignment horizontal="right" vertical="center" wrapText="1"/>
    </xf>
    <xf numFmtId="4" fontId="0" fillId="0" borderId="0" xfId="0" applyNumberFormat="1" applyAlignment="1">
      <alignment horizontal="right" vertical="center" wrapText="1"/>
    </xf>
    <xf numFmtId="0" fontId="0" fillId="0" borderId="0" xfId="0" applyAlignment="1">
      <alignment horizontal="right" vertical="center" wrapText="1"/>
    </xf>
    <xf numFmtId="2" fontId="0" fillId="0" borderId="1" xfId="0" applyNumberFormat="1" applyBorder="1"/>
    <xf numFmtId="173" fontId="0" fillId="0" borderId="1" xfId="0" applyNumberFormat="1" applyBorder="1"/>
    <xf numFmtId="0" fontId="0" fillId="0" borderId="5" xfId="0" applyBorder="1"/>
    <xf numFmtId="2" fontId="0" fillId="0" borderId="2" xfId="0" applyNumberFormat="1" applyBorder="1"/>
    <xf numFmtId="0" fontId="34" fillId="6" borderId="25" xfId="0" applyFont="1" applyFill="1" applyBorder="1" applyAlignment="1">
      <alignment vertical="center" wrapText="1"/>
    </xf>
    <xf numFmtId="0" fontId="0" fillId="0" borderId="1" xfId="0" applyNumberFormat="1" applyBorder="1"/>
    <xf numFmtId="173" fontId="0" fillId="0" borderId="5" xfId="0" applyNumberFormat="1" applyBorder="1"/>
    <xf numFmtId="0" fontId="0" fillId="0" borderId="5" xfId="0" applyNumberFormat="1" applyBorder="1"/>
    <xf numFmtId="0" fontId="0" fillId="0" borderId="2" xfId="0" applyBorder="1"/>
    <xf numFmtId="0" fontId="0" fillId="0" borderId="2" xfId="0" applyNumberFormat="1" applyBorder="1"/>
    <xf numFmtId="173" fontId="21" fillId="0" borderId="26" xfId="0" applyNumberFormat="1" applyFont="1" applyBorder="1"/>
    <xf numFmtId="0" fontId="0" fillId="0" borderId="27" xfId="0" applyNumberFormat="1" applyBorder="1"/>
    <xf numFmtId="0" fontId="21" fillId="0" borderId="27" xfId="0" applyFont="1" applyBorder="1"/>
    <xf numFmtId="0" fontId="0" fillId="0" borderId="1" xfId="0" applyFont="1" applyBorder="1"/>
    <xf numFmtId="165" fontId="10" fillId="0" borderId="2" xfId="3" applyBorder="1"/>
    <xf numFmtId="0" fontId="0" fillId="3" borderId="2" xfId="0" applyFill="1" applyBorder="1"/>
    <xf numFmtId="0" fontId="33" fillId="6" borderId="22" xfId="0" applyFont="1" applyFill="1" applyBorder="1"/>
    <xf numFmtId="0" fontId="33" fillId="6" borderId="22" xfId="0" applyFont="1" applyFill="1" applyBorder="1" applyAlignment="1">
      <alignment wrapText="1"/>
    </xf>
    <xf numFmtId="0" fontId="14" fillId="0" borderId="2" xfId="4" applyBorder="1"/>
    <xf numFmtId="171" fontId="14" fillId="0" borderId="7" xfId="4" applyNumberFormat="1" applyBorder="1"/>
    <xf numFmtId="0" fontId="35" fillId="6" borderId="22" xfId="4" applyFont="1" applyFill="1" applyBorder="1"/>
    <xf numFmtId="0" fontId="35" fillId="6" borderId="22" xfId="4" applyFont="1" applyFill="1" applyBorder="1" applyAlignment="1">
      <alignment horizontal="center" vertical="center"/>
    </xf>
    <xf numFmtId="0" fontId="10" fillId="0" borderId="0" xfId="4" applyFont="1"/>
    <xf numFmtId="172" fontId="36" fillId="6" borderId="28" xfId="4" applyNumberFormat="1" applyFont="1" applyFill="1" applyBorder="1"/>
    <xf numFmtId="172" fontId="10" fillId="0" borderId="24" xfId="4" applyNumberFormat="1" applyFont="1" applyBorder="1"/>
    <xf numFmtId="43" fontId="10" fillId="0" borderId="24" xfId="4" applyNumberFormat="1" applyFont="1" applyBorder="1"/>
    <xf numFmtId="173" fontId="10" fillId="0" borderId="24" xfId="4" applyNumberFormat="1" applyFont="1" applyBorder="1"/>
    <xf numFmtId="165" fontId="10" fillId="0" borderId="24" xfId="2" applyFont="1" applyBorder="1"/>
    <xf numFmtId="165" fontId="1" fillId="0" borderId="2" xfId="2" applyFill="1" applyBorder="1" applyAlignment="1">
      <alignment horizontal="right" vertical="center" wrapText="1"/>
    </xf>
    <xf numFmtId="165" fontId="1" fillId="0" borderId="1" xfId="2" applyFill="1" applyBorder="1" applyAlignment="1">
      <alignment horizontal="right" vertical="center" wrapText="1"/>
    </xf>
    <xf numFmtId="165" fontId="1" fillId="7" borderId="1" xfId="2" applyFill="1" applyBorder="1" applyAlignment="1">
      <alignment horizontal="right" vertical="center" wrapText="1"/>
    </xf>
    <xf numFmtId="165" fontId="1" fillId="0" borderId="1" xfId="2" applyBorder="1" applyAlignment="1">
      <alignment horizontal="right" vertical="center" wrapText="1"/>
    </xf>
    <xf numFmtId="165" fontId="1" fillId="0" borderId="1" xfId="2" quotePrefix="1" applyFill="1" applyBorder="1" applyAlignment="1">
      <alignment horizontal="right" vertical="center" wrapText="1"/>
    </xf>
    <xf numFmtId="165" fontId="1" fillId="0" borderId="4" xfId="2" quotePrefix="1" applyFill="1" applyBorder="1" applyAlignment="1">
      <alignment horizontal="right" vertical="center" wrapText="1"/>
    </xf>
    <xf numFmtId="165" fontId="1" fillId="0" borderId="4" xfId="2" applyBorder="1" applyAlignment="1">
      <alignment horizontal="right" vertical="center" wrapText="1"/>
    </xf>
    <xf numFmtId="165" fontId="1" fillId="0" borderId="5" xfId="2" applyFill="1" applyBorder="1" applyAlignment="1">
      <alignment horizontal="right" vertical="center" wrapText="1"/>
    </xf>
    <xf numFmtId="165" fontId="1" fillId="7" borderId="2" xfId="2" applyFill="1" applyBorder="1" applyAlignment="1">
      <alignment horizontal="right" vertical="center" wrapText="1"/>
    </xf>
    <xf numFmtId="165" fontId="1" fillId="0" borderId="24" xfId="2" applyBorder="1" applyAlignment="1">
      <alignment horizontal="right" vertical="center" wrapText="1"/>
    </xf>
    <xf numFmtId="165" fontId="1" fillId="0" borderId="7" xfId="2" applyFill="1" applyBorder="1" applyAlignment="1">
      <alignment horizontal="right" vertical="center" wrapText="1"/>
    </xf>
    <xf numFmtId="165" fontId="1" fillId="0" borderId="4" xfId="2" applyFill="1" applyBorder="1" applyAlignment="1">
      <alignment horizontal="right" vertical="center" wrapText="1"/>
    </xf>
    <xf numFmtId="165" fontId="1" fillId="7" borderId="4" xfId="2" applyFill="1" applyBorder="1" applyAlignment="1">
      <alignment horizontal="right" vertical="center" wrapText="1"/>
    </xf>
    <xf numFmtId="0" fontId="0"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8" xfId="0" applyFont="1" applyFill="1" applyBorder="1" applyAlignment="1">
      <alignment horizontal="center" vertical="center" wrapText="1"/>
    </xf>
    <xf numFmtId="0" fontId="0" fillId="0" borderId="8" xfId="0" applyFill="1" applyBorder="1" applyAlignment="1">
      <alignment horizontal="center" vertical="center"/>
    </xf>
    <xf numFmtId="0" fontId="21" fillId="5" borderId="24" xfId="0" applyFont="1" applyFill="1" applyBorder="1" applyAlignment="1">
      <alignment vertical="center" wrapText="1"/>
    </xf>
    <xf numFmtId="0" fontId="23" fillId="0" borderId="0" xfId="6" applyFont="1"/>
    <xf numFmtId="0" fontId="37" fillId="0" borderId="0" xfId="6" applyFont="1"/>
    <xf numFmtId="0" fontId="28" fillId="0" borderId="0" xfId="6"/>
    <xf numFmtId="165" fontId="2" fillId="0" borderId="4" xfId="2" applyFont="1" applyFill="1" applyBorder="1" applyAlignment="1">
      <alignment horizontal="right" vertical="center" wrapText="1"/>
    </xf>
    <xf numFmtId="165" fontId="2" fillId="0" borderId="1" xfId="2" applyFont="1" applyFill="1" applyBorder="1" applyAlignment="1">
      <alignment horizontal="right" vertical="center" wrapText="1"/>
    </xf>
    <xf numFmtId="0" fontId="29" fillId="6" borderId="28" xfId="6" applyFont="1" applyFill="1" applyBorder="1"/>
    <xf numFmtId="0" fontId="29" fillId="6" borderId="28" xfId="6" applyFont="1" applyFill="1" applyBorder="1" applyAlignment="1">
      <alignment wrapText="1"/>
    </xf>
    <xf numFmtId="0" fontId="28" fillId="0" borderId="1" xfId="6" applyBorder="1"/>
    <xf numFmtId="173" fontId="10" fillId="0" borderId="1" xfId="4" applyNumberFormat="1" applyFont="1" applyBorder="1"/>
    <xf numFmtId="165" fontId="1" fillId="0" borderId="1" xfId="2" applyBorder="1"/>
    <xf numFmtId="165" fontId="1" fillId="0" borderId="1" xfId="2" quotePrefix="1" applyBorder="1" applyAlignment="1">
      <alignment horizontal="center" vertical="center"/>
    </xf>
    <xf numFmtId="165" fontId="38" fillId="0" borderId="29" xfId="2" applyFont="1" applyBorder="1" applyAlignment="1">
      <alignment horizontal="right" vertical="center" wrapText="1"/>
    </xf>
    <xf numFmtId="165" fontId="39" fillId="0" borderId="29" xfId="2" applyFont="1" applyBorder="1" applyAlignment="1">
      <alignment horizontal="right" vertical="center" wrapText="1"/>
    </xf>
    <xf numFmtId="0" fontId="38" fillId="0" borderId="8" xfId="0" applyFont="1" applyBorder="1" applyAlignment="1">
      <alignment horizontal="center" vertical="center" wrapText="1"/>
    </xf>
    <xf numFmtId="2" fontId="14" fillId="0" borderId="0" xfId="4" applyNumberFormat="1"/>
    <xf numFmtId="0" fontId="10" fillId="0" borderId="0" xfId="5"/>
    <xf numFmtId="0" fontId="10" fillId="0" borderId="0" xfId="5" applyAlignment="1">
      <alignment horizontal="centerContinuous" vertical="center"/>
    </xf>
    <xf numFmtId="0" fontId="10" fillId="0" borderId="0" xfId="5" applyAlignment="1">
      <alignment vertical="center"/>
    </xf>
    <xf numFmtId="0" fontId="10" fillId="0" borderId="0" xfId="5" applyAlignment="1">
      <alignment horizontal="centerContinuous"/>
    </xf>
    <xf numFmtId="0" fontId="10" fillId="0" borderId="0" xfId="5" applyFont="1" applyAlignment="1">
      <alignment horizontal="left"/>
    </xf>
    <xf numFmtId="0" fontId="25" fillId="0" borderId="0" xfId="5" applyFont="1" applyAlignment="1">
      <alignment horizontal="centerContinuous" vertical="center"/>
    </xf>
    <xf numFmtId="0" fontId="10" fillId="0" borderId="0" xfId="5" applyBorder="1"/>
    <xf numFmtId="2" fontId="10" fillId="0" borderId="0" xfId="5" applyNumberFormat="1"/>
    <xf numFmtId="2" fontId="22" fillId="0" borderId="0" xfId="5" applyNumberFormat="1" applyFont="1"/>
    <xf numFmtId="0" fontId="10" fillId="0" borderId="0" xfId="5" applyAlignment="1"/>
    <xf numFmtId="0" fontId="10" fillId="0" borderId="0" xfId="5" applyFont="1"/>
    <xf numFmtId="0" fontId="2" fillId="0" borderId="4" xfId="5" applyFont="1" applyBorder="1" applyAlignment="1">
      <alignment horizontal="right" vertical="center"/>
    </xf>
    <xf numFmtId="0" fontId="2" fillId="0" borderId="9" xfId="5" applyFont="1" applyBorder="1" applyAlignment="1">
      <alignment horizontal="right" vertical="center"/>
    </xf>
    <xf numFmtId="0" fontId="2" fillId="0" borderId="8" xfId="5" applyFont="1" applyBorder="1" applyAlignment="1">
      <alignment horizontal="right" vertical="center"/>
    </xf>
    <xf numFmtId="0" fontId="10" fillId="0" borderId="0" xfId="5" applyFont="1" applyAlignment="1"/>
    <xf numFmtId="0" fontId="2" fillId="0" borderId="0" xfId="5" applyFont="1"/>
    <xf numFmtId="2" fontId="22" fillId="0" borderId="0" xfId="5" applyNumberFormat="1" applyFont="1" applyBorder="1"/>
    <xf numFmtId="0" fontId="10" fillId="0" borderId="0" xfId="5" applyFont="1" applyBorder="1" applyAlignment="1">
      <alignment horizontal="left"/>
    </xf>
    <xf numFmtId="2" fontId="10" fillId="0" borderId="10" xfId="5" applyNumberFormat="1" applyBorder="1"/>
    <xf numFmtId="2" fontId="10" fillId="0" borderId="0" xfId="5" applyNumberFormat="1" applyBorder="1"/>
    <xf numFmtId="2" fontId="22" fillId="0" borderId="0" xfId="5" quotePrefix="1" applyNumberFormat="1" applyFont="1" applyBorder="1" applyAlignment="1">
      <alignment horizontal="right"/>
    </xf>
    <xf numFmtId="2" fontId="10" fillId="0" borderId="0" xfId="5" applyNumberFormat="1" applyFont="1" applyBorder="1"/>
    <xf numFmtId="2" fontId="10" fillId="0" borderId="0" xfId="5" applyNumberFormat="1" applyFont="1"/>
    <xf numFmtId="2" fontId="22" fillId="0" borderId="0" xfId="5" applyNumberFormat="1" applyFont="1" applyAlignment="1">
      <alignment wrapText="1"/>
    </xf>
    <xf numFmtId="2" fontId="10" fillId="0" borderId="10" xfId="5" applyNumberFormat="1" applyFont="1" applyBorder="1"/>
    <xf numFmtId="0" fontId="10" fillId="0" borderId="0" xfId="5" applyFont="1" applyBorder="1" applyAlignment="1" applyProtection="1">
      <alignment horizontal="left"/>
    </xf>
    <xf numFmtId="2" fontId="14" fillId="8" borderId="30" xfId="4" applyNumberFormat="1" applyFill="1" applyBorder="1"/>
    <xf numFmtId="0" fontId="40" fillId="0" borderId="1" xfId="4" applyFont="1" applyFill="1" applyBorder="1"/>
    <xf numFmtId="170" fontId="40" fillId="0" borderId="1" xfId="4" applyNumberFormat="1" applyFont="1" applyFill="1" applyBorder="1"/>
    <xf numFmtId="170" fontId="14" fillId="4" borderId="11" xfId="4" applyNumberFormat="1" applyFill="1" applyBorder="1"/>
    <xf numFmtId="0" fontId="14" fillId="8" borderId="31" xfId="4" applyFill="1" applyBorder="1"/>
    <xf numFmtId="0" fontId="14" fillId="0" borderId="32" xfId="4" applyFill="1" applyBorder="1" applyAlignment="1">
      <alignment horizontal="center"/>
    </xf>
    <xf numFmtId="0" fontId="14" fillId="0" borderId="32" xfId="4" applyFill="1" applyBorder="1"/>
    <xf numFmtId="0" fontId="14" fillId="0" borderId="33" xfId="4" applyFill="1" applyBorder="1"/>
    <xf numFmtId="2" fontId="14" fillId="0" borderId="33" xfId="4" applyNumberFormat="1" applyFill="1" applyBorder="1"/>
    <xf numFmtId="170" fontId="14" fillId="0" borderId="2" xfId="4" applyNumberFormat="1" applyBorder="1"/>
    <xf numFmtId="0" fontId="41" fillId="6" borderId="22" xfId="4" applyFont="1" applyFill="1" applyBorder="1" applyAlignment="1">
      <alignment wrapText="1"/>
    </xf>
    <xf numFmtId="0" fontId="35" fillId="6" borderId="22" xfId="4" applyFont="1" applyFill="1" applyBorder="1" applyAlignment="1">
      <alignment horizontal="left" vertical="center"/>
    </xf>
    <xf numFmtId="0" fontId="41" fillId="6" borderId="22" xfId="4" applyFont="1" applyFill="1" applyBorder="1"/>
    <xf numFmtId="0" fontId="6" fillId="0" borderId="1" xfId="1" applyFill="1" applyBorder="1" applyAlignment="1">
      <alignment wrapText="1"/>
    </xf>
    <xf numFmtId="174" fontId="38" fillId="0" borderId="1" xfId="0" applyNumberFormat="1" applyFont="1" applyBorder="1" applyAlignment="1">
      <alignment horizontal="right" vertical="center" wrapText="1"/>
    </xf>
    <xf numFmtId="167" fontId="38" fillId="0" borderId="1" xfId="0" applyNumberFormat="1" applyFont="1" applyBorder="1" applyAlignment="1">
      <alignment horizontal="right" vertical="center" wrapText="1"/>
    </xf>
    <xf numFmtId="174" fontId="38" fillId="0" borderId="4" xfId="0" applyNumberFormat="1" applyFont="1" applyBorder="1" applyAlignment="1">
      <alignment horizontal="right" vertical="center" wrapText="1"/>
    </xf>
    <xf numFmtId="167" fontId="38" fillId="0" borderId="4" xfId="0" applyNumberFormat="1" applyFont="1" applyBorder="1" applyAlignment="1">
      <alignment horizontal="right" vertical="center" wrapText="1"/>
    </xf>
    <xf numFmtId="165" fontId="39" fillId="0" borderId="7" xfId="2" applyFont="1" applyFill="1" applyBorder="1" applyAlignment="1">
      <alignment horizontal="right" vertical="center" wrapText="1"/>
    </xf>
    <xf numFmtId="165" fontId="39" fillId="0" borderId="4" xfId="2" applyFont="1" applyFill="1" applyBorder="1" applyAlignment="1">
      <alignment horizontal="right" vertical="center" wrapText="1"/>
    </xf>
    <xf numFmtId="174" fontId="39" fillId="0" borderId="4" xfId="0" applyNumberFormat="1" applyFont="1" applyBorder="1" applyAlignment="1">
      <alignment horizontal="right" vertical="center" wrapText="1"/>
    </xf>
    <xf numFmtId="167" fontId="39" fillId="0" borderId="4" xfId="0" applyNumberFormat="1" applyFont="1" applyBorder="1" applyAlignment="1">
      <alignment horizontal="right" vertical="center" wrapText="1"/>
    </xf>
    <xf numFmtId="168" fontId="39" fillId="0" borderId="4" xfId="0" applyNumberFormat="1" applyFont="1" applyBorder="1" applyAlignment="1">
      <alignment horizontal="right" vertical="center" wrapText="1"/>
    </xf>
    <xf numFmtId="169" fontId="39" fillId="0" borderId="4" xfId="0" applyNumberFormat="1" applyFont="1" applyBorder="1" applyAlignment="1">
      <alignment horizontal="right" vertical="center" wrapText="1"/>
    </xf>
    <xf numFmtId="169" fontId="38" fillId="0" borderId="4" xfId="0" applyNumberFormat="1" applyFont="1" applyBorder="1" applyAlignment="1">
      <alignment horizontal="right" vertical="center" wrapText="1"/>
    </xf>
    <xf numFmtId="0" fontId="38" fillId="0" borderId="4" xfId="0" applyFont="1" applyFill="1" applyBorder="1" applyAlignment="1">
      <alignment horizontal="right" vertical="center" wrapText="1"/>
    </xf>
    <xf numFmtId="165" fontId="38" fillId="0" borderId="4" xfId="2" applyFont="1" applyFill="1" applyBorder="1" applyAlignment="1">
      <alignment horizontal="right" vertical="center" wrapText="1"/>
    </xf>
    <xf numFmtId="4" fontId="38" fillId="0" borderId="4" xfId="0" applyNumberFormat="1" applyFont="1" applyFill="1" applyBorder="1" applyAlignment="1">
      <alignment horizontal="right" vertical="center" wrapText="1"/>
    </xf>
    <xf numFmtId="165" fontId="39" fillId="7" borderId="4" xfId="2" applyFont="1" applyFill="1" applyBorder="1" applyAlignment="1">
      <alignment horizontal="right" vertical="center" wrapText="1"/>
    </xf>
    <xf numFmtId="167" fontId="38" fillId="0" borderId="4" xfId="0" applyNumberFormat="1" applyFont="1" applyFill="1" applyBorder="1" applyAlignment="1">
      <alignment horizontal="right" vertical="center" wrapText="1"/>
    </xf>
    <xf numFmtId="165" fontId="39" fillId="0" borderId="4" xfId="2" applyFont="1" applyBorder="1" applyAlignment="1">
      <alignment horizontal="right" vertical="center" wrapText="1"/>
    </xf>
    <xf numFmtId="4" fontId="39" fillId="0" borderId="4" xfId="0" applyNumberFormat="1" applyFont="1" applyBorder="1" applyAlignment="1">
      <alignment horizontal="right" vertical="center" wrapText="1"/>
    </xf>
    <xf numFmtId="2" fontId="2" fillId="0" borderId="0" xfId="5" applyNumberFormat="1" applyFont="1" applyBorder="1"/>
    <xf numFmtId="2" fontId="2" fillId="0" borderId="0" xfId="5" applyNumberFormat="1" applyFont="1"/>
    <xf numFmtId="2" fontId="2" fillId="0" borderId="0" xfId="5" applyNumberFormat="1" applyFont="1" applyFill="1"/>
    <xf numFmtId="2" fontId="2" fillId="0" borderId="0" xfId="5" applyNumberFormat="1" applyFont="1" applyFill="1" applyBorder="1"/>
    <xf numFmtId="2" fontId="10" fillId="0" borderId="10" xfId="5" applyNumberFormat="1" applyFill="1" applyBorder="1"/>
    <xf numFmtId="0" fontId="10" fillId="0" borderId="0" xfId="5" applyFill="1"/>
    <xf numFmtId="0" fontId="2" fillId="0" borderId="8" xfId="5" applyFont="1" applyFill="1" applyBorder="1" applyAlignment="1">
      <alignment horizontal="right" vertical="center"/>
    </xf>
    <xf numFmtId="2" fontId="43" fillId="0" borderId="1" xfId="0" applyNumberFormat="1" applyFont="1" applyBorder="1"/>
    <xf numFmtId="0" fontId="0" fillId="0" borderId="0" xfId="0" applyAlignment="1">
      <alignment wrapText="1"/>
    </xf>
    <xf numFmtId="0" fontId="6" fillId="0" borderId="12" xfId="1" applyBorder="1" applyAlignment="1" applyProtection="1">
      <alignment wrapText="1"/>
    </xf>
    <xf numFmtId="165" fontId="34" fillId="6" borderId="13" xfId="2" applyFont="1" applyFill="1" applyBorder="1" applyAlignment="1" applyProtection="1">
      <alignment vertical="center" wrapText="1"/>
    </xf>
    <xf numFmtId="0" fontId="6" fillId="0" borderId="0" xfId="1" applyAlignment="1">
      <alignment wrapText="1"/>
    </xf>
    <xf numFmtId="176" fontId="1" fillId="0" borderId="1" xfId="2" applyNumberFormat="1" applyBorder="1"/>
    <xf numFmtId="0" fontId="28" fillId="0" borderId="0" xfId="6" applyBorder="1"/>
    <xf numFmtId="176" fontId="1" fillId="0" borderId="0" xfId="2" applyNumberFormat="1" applyBorder="1"/>
    <xf numFmtId="2" fontId="22" fillId="0" borderId="34" xfId="0" applyNumberFormat="1" applyFont="1" applyBorder="1"/>
    <xf numFmtId="165" fontId="10" fillId="0" borderId="0" xfId="4" applyNumberFormat="1" applyFont="1"/>
    <xf numFmtId="173" fontId="10" fillId="0" borderId="0" xfId="4" applyNumberFormat="1" applyFont="1" applyBorder="1"/>
    <xf numFmtId="172" fontId="10" fillId="0" borderId="0" xfId="4" applyNumberFormat="1" applyFont="1" applyBorder="1"/>
    <xf numFmtId="176" fontId="10" fillId="0" borderId="0" xfId="2" applyNumberFormat="1" applyFont="1" applyBorder="1"/>
    <xf numFmtId="175" fontId="28" fillId="0" borderId="1" xfId="6" applyNumberFormat="1" applyBorder="1"/>
    <xf numFmtId="169" fontId="38" fillId="0" borderId="4" xfId="0" applyNumberFormat="1" applyFont="1" applyFill="1" applyBorder="1" applyAlignment="1">
      <alignment horizontal="right" vertical="center" wrapText="1"/>
    </xf>
    <xf numFmtId="15" fontId="6" fillId="0" borderId="1" xfId="1" applyNumberFormat="1" applyBorder="1"/>
    <xf numFmtId="0" fontId="6" fillId="0" borderId="1" xfId="1" applyBorder="1"/>
    <xf numFmtId="165" fontId="38" fillId="0" borderId="35" xfId="2" applyFont="1" applyBorder="1" applyAlignment="1">
      <alignment horizontal="right" vertical="center" wrapText="1"/>
    </xf>
    <xf numFmtId="165" fontId="1" fillId="0" borderId="10" xfId="2" quotePrefix="1" applyFill="1" applyBorder="1" applyAlignment="1">
      <alignment horizontal="right" vertical="center" wrapText="1"/>
    </xf>
    <xf numFmtId="4" fontId="38" fillId="0" borderId="14" xfId="0" quotePrefix="1" applyNumberFormat="1" applyFont="1" applyFill="1" applyBorder="1" applyAlignment="1">
      <alignment horizontal="right" vertical="center" wrapText="1"/>
    </xf>
    <xf numFmtId="165" fontId="1" fillId="7" borderId="7" xfId="2" applyFill="1" applyBorder="1" applyAlignment="1">
      <alignment horizontal="right" vertical="center" wrapText="1"/>
    </xf>
    <xf numFmtId="165" fontId="39" fillId="7" borderId="7" xfId="2" applyFont="1" applyFill="1" applyBorder="1" applyAlignment="1">
      <alignment horizontal="right" vertical="center" wrapText="1"/>
    </xf>
    <xf numFmtId="165" fontId="39" fillId="0" borderId="24" xfId="2" applyFont="1" applyBorder="1" applyAlignment="1">
      <alignment horizontal="right" vertical="center" wrapText="1"/>
    </xf>
    <xf numFmtId="165" fontId="10" fillId="0" borderId="24" xfId="2" applyNumberFormat="1" applyFont="1" applyBorder="1"/>
    <xf numFmtId="165" fontId="1" fillId="0" borderId="1" xfId="2" applyNumberFormat="1" applyBorder="1"/>
    <xf numFmtId="14" fontId="33" fillId="6" borderId="22" xfId="0" applyNumberFormat="1" applyFont="1" applyFill="1" applyBorder="1" applyAlignment="1">
      <alignment horizontal="center" vertical="center" wrapText="1"/>
    </xf>
    <xf numFmtId="0" fontId="33" fillId="6" borderId="36" xfId="0" applyFont="1" applyFill="1" applyBorder="1" applyAlignment="1">
      <alignment horizontal="center" vertical="center" wrapText="1"/>
    </xf>
    <xf numFmtId="0" fontId="44" fillId="6" borderId="22" xfId="0" applyFont="1" applyFill="1" applyBorder="1" applyAlignment="1">
      <alignment vertical="center" wrapText="1"/>
    </xf>
    <xf numFmtId="168" fontId="38" fillId="0" borderId="4" xfId="0" applyNumberFormat="1" applyFont="1" applyBorder="1" applyAlignment="1">
      <alignment horizontal="right" vertical="center" wrapText="1"/>
    </xf>
    <xf numFmtId="4" fontId="38" fillId="0" borderId="4" xfId="0" quotePrefix="1" applyNumberFormat="1" applyFont="1" applyFill="1" applyBorder="1" applyAlignment="1">
      <alignment horizontal="right" vertical="center" wrapText="1"/>
    </xf>
    <xf numFmtId="165" fontId="38" fillId="7" borderId="4" xfId="2" applyFont="1" applyFill="1" applyBorder="1" applyAlignment="1">
      <alignment horizontal="right" vertical="center" wrapText="1"/>
    </xf>
    <xf numFmtId="169" fontId="39" fillId="0" borderId="4" xfId="0" applyNumberFormat="1" applyFont="1" applyFill="1" applyBorder="1" applyAlignment="1">
      <alignment horizontal="right" vertical="center" wrapText="1"/>
    </xf>
    <xf numFmtId="165" fontId="38" fillId="0" borderId="4" xfId="2" applyFont="1" applyBorder="1" applyAlignment="1">
      <alignment horizontal="right" vertical="center" wrapText="1"/>
    </xf>
    <xf numFmtId="4" fontId="38" fillId="0" borderId="4" xfId="0" applyNumberFormat="1" applyFont="1" applyBorder="1" applyAlignment="1">
      <alignment horizontal="right" vertical="center" wrapText="1"/>
    </xf>
    <xf numFmtId="165" fontId="0" fillId="0" borderId="1" xfId="2" applyFont="1" applyFill="1" applyBorder="1" applyAlignment="1">
      <alignment horizontal="right" vertical="center" wrapText="1"/>
    </xf>
    <xf numFmtId="14" fontId="33" fillId="6" borderId="36" xfId="0" applyNumberFormat="1" applyFont="1" applyFill="1" applyBorder="1" applyAlignment="1">
      <alignment horizontal="center" vertical="center" wrapText="1"/>
    </xf>
    <xf numFmtId="165" fontId="38" fillId="0" borderId="7" xfId="2" applyFont="1" applyFill="1" applyBorder="1" applyAlignment="1">
      <alignment horizontal="right" vertical="center" wrapText="1"/>
    </xf>
    <xf numFmtId="165" fontId="0" fillId="0" borderId="4" xfId="2" applyFont="1" applyFill="1" applyBorder="1" applyAlignment="1">
      <alignment horizontal="right" vertical="center" wrapText="1"/>
    </xf>
    <xf numFmtId="165" fontId="38" fillId="0" borderId="37" xfId="2" applyFont="1" applyFill="1" applyBorder="1" applyAlignment="1">
      <alignment horizontal="right" vertical="center" wrapText="1"/>
    </xf>
    <xf numFmtId="165" fontId="38" fillId="0" borderId="38" xfId="2" applyFont="1" applyFill="1" applyBorder="1" applyAlignment="1">
      <alignment horizontal="right" vertical="center" wrapText="1"/>
    </xf>
    <xf numFmtId="165" fontId="10" fillId="0" borderId="38" xfId="2" applyFont="1" applyFill="1" applyBorder="1" applyAlignment="1">
      <alignment horizontal="right" vertical="center" wrapText="1"/>
    </xf>
    <xf numFmtId="174" fontId="38" fillId="0" borderId="38" xfId="0" applyNumberFormat="1" applyFont="1" applyBorder="1" applyAlignment="1">
      <alignment horizontal="right" vertical="center" wrapText="1"/>
    </xf>
    <xf numFmtId="167" fontId="38" fillId="0" borderId="38" xfId="0" applyNumberFormat="1" applyFont="1" applyBorder="1" applyAlignment="1">
      <alignment horizontal="right" vertical="center" wrapText="1"/>
    </xf>
    <xf numFmtId="169" fontId="38" fillId="0" borderId="38" xfId="0" applyNumberFormat="1" applyFont="1" applyBorder="1" applyAlignment="1">
      <alignment horizontal="right" vertical="center" wrapText="1"/>
    </xf>
    <xf numFmtId="165" fontId="10" fillId="0" borderId="38" xfId="2" applyFont="1" applyFill="1" applyBorder="1" applyAlignment="1">
      <alignment horizontal="right" vertical="center" wrapText="1"/>
    </xf>
    <xf numFmtId="4" fontId="38" fillId="0" borderId="38" xfId="0" applyNumberFormat="1" applyFont="1" applyFill="1" applyBorder="1" applyAlignment="1">
      <alignment horizontal="right" vertical="center" wrapText="1"/>
    </xf>
    <xf numFmtId="165" fontId="1" fillId="0" borderId="38" xfId="2" applyFill="1" applyBorder="1" applyAlignment="1">
      <alignment horizontal="right" vertical="center" wrapText="1"/>
    </xf>
    <xf numFmtId="4" fontId="38" fillId="0" borderId="38" xfId="0" quotePrefix="1" applyNumberFormat="1" applyFont="1" applyFill="1" applyBorder="1" applyAlignment="1">
      <alignment horizontal="right" vertical="center" wrapText="1"/>
    </xf>
    <xf numFmtId="165" fontId="38" fillId="0" borderId="38" xfId="2" applyFont="1" applyBorder="1" applyAlignment="1">
      <alignment horizontal="right" vertical="center" wrapText="1"/>
    </xf>
    <xf numFmtId="165" fontId="38" fillId="7" borderId="38" xfId="2" applyFont="1" applyFill="1" applyBorder="1" applyAlignment="1">
      <alignment horizontal="right" vertical="center" wrapText="1"/>
    </xf>
    <xf numFmtId="167" fontId="38" fillId="0" borderId="38" xfId="0" applyNumberFormat="1" applyFont="1" applyFill="1" applyBorder="1" applyAlignment="1">
      <alignment horizontal="right" vertical="center" wrapText="1"/>
    </xf>
    <xf numFmtId="0" fontId="38" fillId="0" borderId="38" xfId="0" applyFont="1" applyFill="1" applyBorder="1" applyAlignment="1">
      <alignment horizontal="right" vertical="center" wrapText="1"/>
    </xf>
    <xf numFmtId="169" fontId="38" fillId="0" borderId="38" xfId="0" applyNumberFormat="1" applyFont="1" applyFill="1" applyBorder="1" applyAlignment="1">
      <alignment horizontal="right" vertical="center" wrapText="1"/>
    </xf>
    <xf numFmtId="4" fontId="38" fillId="0" borderId="38" xfId="0" applyNumberFormat="1" applyFont="1" applyBorder="1" applyAlignment="1">
      <alignment horizontal="right" vertical="center" wrapText="1"/>
    </xf>
    <xf numFmtId="165" fontId="10" fillId="0" borderId="39" xfId="2" applyFont="1" applyFill="1" applyBorder="1" applyAlignment="1">
      <alignment horizontal="right" vertical="center" wrapText="1"/>
    </xf>
    <xf numFmtId="170" fontId="46" fillId="0" borderId="1" xfId="4" applyNumberFormat="1" applyFont="1" applyFill="1" applyBorder="1"/>
    <xf numFmtId="165" fontId="38" fillId="0" borderId="0" xfId="2" applyFont="1" applyFill="1" applyBorder="1" applyAlignment="1">
      <alignment horizontal="right" vertical="center" wrapText="1"/>
    </xf>
    <xf numFmtId="165" fontId="38" fillId="0" borderId="9" xfId="2" applyFont="1" applyFill="1" applyBorder="1" applyAlignment="1">
      <alignment horizontal="right" vertical="center" wrapText="1"/>
    </xf>
    <xf numFmtId="165" fontId="10" fillId="0" borderId="9" xfId="2" applyFont="1" applyFill="1" applyBorder="1" applyAlignment="1">
      <alignment horizontal="right" vertical="center" wrapText="1"/>
    </xf>
    <xf numFmtId="174" fontId="38" fillId="0" borderId="9" xfId="0" applyNumberFormat="1" applyFont="1" applyBorder="1" applyAlignment="1">
      <alignment horizontal="right" vertical="center" wrapText="1"/>
    </xf>
    <xf numFmtId="167" fontId="38" fillId="0" borderId="9" xfId="0" applyNumberFormat="1" applyFont="1" applyBorder="1" applyAlignment="1">
      <alignment horizontal="right" vertical="center" wrapText="1"/>
    </xf>
    <xf numFmtId="169" fontId="38" fillId="0" borderId="9" xfId="0" applyNumberFormat="1" applyFont="1" applyBorder="1" applyAlignment="1">
      <alignment horizontal="right" vertical="center" wrapText="1"/>
    </xf>
    <xf numFmtId="165" fontId="10" fillId="0" borderId="10" xfId="2" applyFont="1" applyFill="1" applyBorder="1" applyAlignment="1">
      <alignment horizontal="right" vertical="center" wrapText="1"/>
    </xf>
    <xf numFmtId="165" fontId="10" fillId="0" borderId="0" xfId="2" applyFont="1" applyFill="1" applyBorder="1" applyAlignment="1">
      <alignment horizontal="right" vertical="center" wrapText="1"/>
    </xf>
    <xf numFmtId="4" fontId="38" fillId="0" borderId="9" xfId="0" applyNumberFormat="1" applyFont="1" applyFill="1" applyBorder="1" applyAlignment="1">
      <alignment horizontal="right" vertical="center" wrapText="1"/>
    </xf>
    <xf numFmtId="165" fontId="1" fillId="0" borderId="9" xfId="2" applyFill="1" applyBorder="1" applyAlignment="1">
      <alignment horizontal="right" vertical="center" wrapText="1"/>
    </xf>
    <xf numFmtId="4" fontId="38" fillId="0" borderId="9" xfId="0" quotePrefix="1" applyNumberFormat="1" applyFont="1" applyFill="1" applyBorder="1" applyAlignment="1">
      <alignment horizontal="right" vertical="center" wrapText="1"/>
    </xf>
    <xf numFmtId="165" fontId="38" fillId="0" borderId="9" xfId="2" applyFont="1" applyBorder="1" applyAlignment="1">
      <alignment horizontal="right" vertical="center" wrapText="1"/>
    </xf>
    <xf numFmtId="165" fontId="38" fillId="7" borderId="9" xfId="2" applyFont="1" applyFill="1" applyBorder="1" applyAlignment="1">
      <alignment horizontal="right" vertical="center" wrapText="1"/>
    </xf>
    <xf numFmtId="165" fontId="39" fillId="7" borderId="9" xfId="2" applyFont="1" applyFill="1" applyBorder="1" applyAlignment="1">
      <alignment horizontal="right" vertical="center" wrapText="1"/>
    </xf>
    <xf numFmtId="167" fontId="38" fillId="0" borderId="9" xfId="0" applyNumberFormat="1" applyFont="1" applyFill="1" applyBorder="1" applyAlignment="1">
      <alignment horizontal="right" vertical="center" wrapText="1"/>
    </xf>
    <xf numFmtId="0" fontId="38" fillId="0" borderId="9" xfId="0" applyFont="1" applyFill="1" applyBorder="1" applyAlignment="1">
      <alignment horizontal="right" vertical="center" wrapText="1"/>
    </xf>
    <xf numFmtId="169" fontId="38" fillId="0" borderId="9" xfId="0" applyNumberFormat="1" applyFont="1" applyFill="1" applyBorder="1" applyAlignment="1">
      <alignment horizontal="right" vertical="center" wrapText="1"/>
    </xf>
    <xf numFmtId="4" fontId="38" fillId="0" borderId="9" xfId="0" applyNumberFormat="1" applyFont="1" applyBorder="1" applyAlignment="1">
      <alignment horizontal="right" vertical="center" wrapText="1"/>
    </xf>
    <xf numFmtId="165" fontId="0" fillId="0" borderId="9" xfId="2" applyFont="1" applyFill="1" applyBorder="1" applyAlignment="1">
      <alignment horizontal="right" vertical="center" wrapText="1"/>
    </xf>
    <xf numFmtId="167" fontId="39" fillId="0" borderId="40" xfId="0" applyNumberFormat="1" applyFont="1" applyBorder="1" applyAlignment="1">
      <alignment horizontal="right" vertical="center" wrapText="1"/>
    </xf>
    <xf numFmtId="14" fontId="33" fillId="6" borderId="28" xfId="0" applyNumberFormat="1" applyFont="1" applyFill="1" applyBorder="1" applyAlignment="1">
      <alignment horizontal="center" vertical="center" wrapText="1"/>
    </xf>
    <xf numFmtId="14" fontId="33" fillId="6" borderId="41" xfId="0" applyNumberFormat="1" applyFont="1" applyFill="1" applyBorder="1" applyAlignment="1">
      <alignment horizontal="center" vertical="center" wrapText="1"/>
    </xf>
    <xf numFmtId="14" fontId="33" fillId="6" borderId="42" xfId="0" applyNumberFormat="1" applyFont="1" applyFill="1" applyBorder="1" applyAlignment="1">
      <alignment horizontal="center" vertical="center" wrapText="1"/>
    </xf>
    <xf numFmtId="169" fontId="39" fillId="0" borderId="9" xfId="0" applyNumberFormat="1" applyFont="1" applyBorder="1" applyAlignment="1">
      <alignment horizontal="right" vertical="center" wrapText="1"/>
    </xf>
    <xf numFmtId="165" fontId="38" fillId="0" borderId="43" xfId="2" applyFont="1" applyBorder="1" applyAlignment="1">
      <alignment horizontal="right" vertical="center" wrapText="1"/>
    </xf>
    <xf numFmtId="168" fontId="42" fillId="0" borderId="9" xfId="0" applyNumberFormat="1" applyFont="1" applyFill="1" applyBorder="1" applyAlignment="1">
      <alignment horizontal="right" vertical="center" wrapText="1"/>
    </xf>
    <xf numFmtId="165" fontId="39" fillId="0" borderId="0" xfId="2" applyFont="1" applyFill="1" applyBorder="1" applyAlignment="1">
      <alignment horizontal="right" vertical="center" wrapText="1"/>
    </xf>
    <xf numFmtId="165" fontId="39" fillId="0" borderId="9" xfId="2" applyFont="1" applyFill="1" applyBorder="1" applyAlignment="1">
      <alignment horizontal="right" vertical="center" wrapText="1"/>
    </xf>
    <xf numFmtId="0" fontId="2" fillId="0" borderId="0" xfId="0" applyFont="1" applyAlignment="1">
      <alignment horizontal="right" vertical="center"/>
    </xf>
    <xf numFmtId="165" fontId="39" fillId="0" borderId="9" xfId="2" applyFont="1" applyBorder="1" applyAlignment="1">
      <alignment horizontal="right" vertical="center" wrapText="1"/>
    </xf>
    <xf numFmtId="4" fontId="39" fillId="0" borderId="9" xfId="0" applyNumberFormat="1" applyFont="1" applyBorder="1" applyAlignment="1">
      <alignment horizontal="right" vertical="center" wrapText="1"/>
    </xf>
    <xf numFmtId="165" fontId="2" fillId="0" borderId="10" xfId="2" applyFont="1" applyFill="1" applyBorder="1" applyAlignment="1">
      <alignment horizontal="right" vertical="center" wrapText="1"/>
    </xf>
    <xf numFmtId="167" fontId="2" fillId="0" borderId="9" xfId="2" applyNumberFormat="1" applyFont="1" applyFill="1" applyBorder="1" applyAlignment="1">
      <alignment horizontal="right" vertical="center" wrapText="1"/>
    </xf>
    <xf numFmtId="165" fontId="39" fillId="0" borderId="15" xfId="2" applyFont="1" applyFill="1" applyBorder="1" applyAlignment="1">
      <alignment horizontal="right" vertical="center" wrapText="1"/>
    </xf>
    <xf numFmtId="173" fontId="28" fillId="0" borderId="1" xfId="6" applyNumberFormat="1" applyBorder="1"/>
    <xf numFmtId="165" fontId="10" fillId="0" borderId="0" xfId="3" applyBorder="1"/>
    <xf numFmtId="0" fontId="0" fillId="3" borderId="0" xfId="0" applyFill="1" applyBorder="1"/>
    <xf numFmtId="0" fontId="0" fillId="0" borderId="6" xfId="0" applyFill="1" applyBorder="1"/>
    <xf numFmtId="171" fontId="14" fillId="0" borderId="0" xfId="4" applyNumberFormat="1" applyFill="1" applyBorder="1"/>
    <xf numFmtId="0" fontId="6" fillId="0" borderId="0" xfId="1" applyBorder="1"/>
    <xf numFmtId="15" fontId="6" fillId="0" borderId="0" xfId="1" applyNumberFormat="1" applyBorder="1"/>
    <xf numFmtId="0" fontId="6" fillId="0" borderId="1" xfId="1" applyBorder="1" applyAlignment="1">
      <alignment horizontal="left" vertical="center" wrapText="1"/>
    </xf>
    <xf numFmtId="166" fontId="0" fillId="0" borderId="1" xfId="0" applyNumberFormat="1" applyFont="1" applyBorder="1" applyAlignment="1">
      <alignment horizontal="center" vertical="center" wrapText="1"/>
    </xf>
    <xf numFmtId="167" fontId="10" fillId="0" borderId="9" xfId="2" applyNumberFormat="1" applyFont="1" applyFill="1" applyBorder="1" applyAlignment="1">
      <alignment horizontal="right" vertical="center" wrapText="1"/>
    </xf>
    <xf numFmtId="165" fontId="38" fillId="0" borderId="15" xfId="2" applyFont="1" applyFill="1" applyBorder="1" applyAlignment="1">
      <alignment horizontal="right" vertical="center" wrapText="1"/>
    </xf>
    <xf numFmtId="0" fontId="40" fillId="0" borderId="5" xfId="4" applyFont="1" applyFill="1" applyBorder="1"/>
    <xf numFmtId="170" fontId="40" fillId="0" borderId="5" xfId="4" applyNumberFormat="1" applyFont="1" applyFill="1" applyBorder="1"/>
    <xf numFmtId="0" fontId="40" fillId="0" borderId="5" xfId="4" applyFont="1" applyBorder="1"/>
    <xf numFmtId="170" fontId="40" fillId="0" borderId="5" xfId="4" applyNumberFormat="1" applyFont="1" applyBorder="1"/>
    <xf numFmtId="0" fontId="46" fillId="0" borderId="1" xfId="4" applyFont="1" applyFill="1" applyBorder="1"/>
    <xf numFmtId="165" fontId="38" fillId="0" borderId="10" xfId="2" applyFont="1" applyFill="1" applyBorder="1" applyAlignment="1">
      <alignment horizontal="right" vertical="center" wrapText="1"/>
    </xf>
    <xf numFmtId="174" fontId="39" fillId="0" borderId="54" xfId="0" applyNumberFormat="1" applyFont="1" applyBorder="1" applyAlignment="1">
      <alignment horizontal="right" vertical="center" wrapText="1"/>
    </xf>
    <xf numFmtId="169" fontId="39" fillId="0" borderId="54" xfId="0" applyNumberFormat="1" applyFont="1" applyBorder="1" applyAlignment="1">
      <alignment horizontal="right" vertical="center" wrapText="1"/>
    </xf>
    <xf numFmtId="165" fontId="39" fillId="0" borderId="53" xfId="2" applyFont="1" applyFill="1" applyBorder="1" applyAlignment="1">
      <alignment horizontal="right" vertical="center" wrapText="1"/>
    </xf>
    <xf numFmtId="165" fontId="39" fillId="0" borderId="54" xfId="2" applyFont="1" applyFill="1" applyBorder="1" applyAlignment="1">
      <alignment horizontal="right" vertical="center" wrapText="1"/>
    </xf>
    <xf numFmtId="165" fontId="39" fillId="0" borderId="54" xfId="2" applyFont="1" applyBorder="1" applyAlignment="1">
      <alignment horizontal="right" vertical="center" wrapText="1"/>
    </xf>
    <xf numFmtId="165" fontId="2" fillId="0" borderId="55" xfId="2" applyFont="1" applyFill="1" applyBorder="1" applyAlignment="1">
      <alignment horizontal="right" vertical="center" wrapText="1"/>
    </xf>
    <xf numFmtId="165" fontId="42" fillId="0" borderId="4" xfId="2" applyFont="1" applyFill="1" applyBorder="1" applyAlignment="1">
      <alignment horizontal="right" vertical="center" wrapText="1"/>
    </xf>
    <xf numFmtId="165" fontId="45" fillId="0" borderId="4" xfId="2" applyFont="1" applyFill="1" applyBorder="1" applyAlignment="1">
      <alignment horizontal="right" vertical="center" wrapText="1"/>
    </xf>
    <xf numFmtId="0" fontId="0" fillId="0" borderId="1" xfId="0" applyFont="1" applyBorder="1" applyAlignment="1">
      <alignment horizontal="left" vertical="center" wrapText="1"/>
    </xf>
    <xf numFmtId="0" fontId="6" fillId="0" borderId="1" xfId="1" applyBorder="1" applyAlignment="1">
      <alignment horizontal="left" vertical="center" wrapText="1"/>
    </xf>
    <xf numFmtId="166" fontId="0" fillId="0" borderId="1" xfId="0" applyNumberFormat="1" applyFont="1" applyBorder="1" applyAlignment="1">
      <alignment horizontal="center" vertical="center" wrapText="1"/>
    </xf>
    <xf numFmtId="0" fontId="0" fillId="0" borderId="8" xfId="0" applyFont="1" applyBorder="1" applyAlignment="1">
      <alignment horizontal="center" vertical="center" wrapText="1"/>
    </xf>
    <xf numFmtId="165" fontId="42" fillId="0" borderId="56" xfId="2" applyFont="1" applyFill="1" applyBorder="1" applyAlignment="1">
      <alignment horizontal="right" vertical="center" wrapText="1"/>
    </xf>
    <xf numFmtId="165" fontId="38" fillId="7" borderId="0" xfId="2" applyFont="1" applyFill="1" applyBorder="1" applyAlignment="1">
      <alignment horizontal="right" vertical="center" wrapText="1"/>
    </xf>
    <xf numFmtId="165" fontId="2" fillId="0" borderId="38" xfId="2" applyFont="1" applyFill="1" applyBorder="1" applyAlignment="1">
      <alignment horizontal="right" vertical="center" wrapText="1"/>
    </xf>
    <xf numFmtId="168" fontId="38" fillId="0" borderId="54" xfId="0" applyNumberFormat="1" applyFont="1" applyFill="1" applyBorder="1" applyAlignment="1">
      <alignment horizontal="right" vertical="center" wrapText="1"/>
    </xf>
    <xf numFmtId="168" fontId="39" fillId="0" borderId="9" xfId="0" applyNumberFormat="1" applyFont="1" applyFill="1" applyBorder="1" applyAlignment="1">
      <alignment horizontal="right" vertical="center" wrapText="1"/>
    </xf>
    <xf numFmtId="168" fontId="39" fillId="0" borderId="38" xfId="0" applyNumberFormat="1" applyFont="1" applyFill="1" applyBorder="1" applyAlignment="1">
      <alignment horizontal="right" vertical="center" wrapText="1"/>
    </xf>
    <xf numFmtId="168" fontId="38" fillId="0" borderId="9" xfId="0" applyNumberFormat="1" applyFont="1" applyFill="1" applyBorder="1" applyAlignment="1">
      <alignment horizontal="right" vertical="center" wrapText="1"/>
    </xf>
    <xf numFmtId="169" fontId="39" fillId="0" borderId="9" xfId="0" applyNumberFormat="1" applyFont="1" applyFill="1" applyBorder="1" applyAlignment="1">
      <alignment horizontal="right" vertical="center" wrapText="1"/>
    </xf>
    <xf numFmtId="167" fontId="0" fillId="0" borderId="9" xfId="2" applyNumberFormat="1" applyFont="1" applyFill="1" applyBorder="1" applyAlignment="1">
      <alignment horizontal="right" vertical="center" wrapText="1"/>
    </xf>
    <xf numFmtId="0" fontId="2" fillId="0" borderId="24" xfId="0" applyFont="1" applyBorder="1" applyAlignment="1">
      <alignment horizontal="left" vertical="center" wrapText="1"/>
    </xf>
    <xf numFmtId="0" fontId="21" fillId="0" borderId="24" xfId="0" applyFont="1" applyBorder="1" applyAlignment="1">
      <alignment horizontal="left" vertical="center" wrapText="1"/>
    </xf>
    <xf numFmtId="0" fontId="44" fillId="0" borderId="45"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47" xfId="0" applyFont="1" applyBorder="1" applyAlignment="1">
      <alignment horizontal="center" vertical="center" wrapText="1"/>
    </xf>
    <xf numFmtId="0" fontId="0" fillId="0" borderId="4"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167" fontId="3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Border="1" applyAlignment="1">
      <alignment vertical="center" wrapText="1"/>
    </xf>
    <xf numFmtId="9" fontId="0" fillId="0" borderId="1" xfId="0" applyNumberFormat="1" applyFont="1" applyFill="1" applyBorder="1" applyAlignment="1">
      <alignment horizontal="left" vertical="center" wrapText="1"/>
    </xf>
    <xf numFmtId="0" fontId="47" fillId="0" borderId="16" xfId="0" applyFont="1" applyBorder="1" applyAlignment="1">
      <alignment horizontal="center" vertical="center" wrapText="1"/>
    </xf>
    <xf numFmtId="0" fontId="33" fillId="6" borderId="22" xfId="0" applyFont="1" applyFill="1" applyBorder="1" applyAlignment="1">
      <alignment horizontal="center" vertical="center"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33" fillId="6" borderId="28" xfId="0" applyFont="1" applyFill="1" applyBorder="1" applyAlignment="1">
      <alignment horizontal="center" vertical="center" wrapText="1"/>
    </xf>
    <xf numFmtId="0" fontId="33" fillId="6" borderId="36" xfId="0" applyFont="1" applyFill="1" applyBorder="1" applyAlignment="1">
      <alignment horizontal="center" vertical="center" wrapText="1"/>
    </xf>
    <xf numFmtId="0" fontId="0" fillId="0" borderId="44" xfId="0" applyBorder="1" applyAlignment="1">
      <alignment horizontal="center" vertical="center" wrapText="1"/>
    </xf>
    <xf numFmtId="0" fontId="0" fillId="0" borderId="23" xfId="0" applyBorder="1" applyAlignment="1">
      <alignment horizontal="center" vertical="center" wrapText="1"/>
    </xf>
    <xf numFmtId="0" fontId="6" fillId="0" borderId="1" xfId="1" applyBorder="1" applyAlignment="1">
      <alignment vertical="center" wrapText="1"/>
    </xf>
    <xf numFmtId="0" fontId="0" fillId="0" borderId="1" xfId="0" applyFont="1" applyBorder="1" applyAlignment="1">
      <alignment vertical="center" wrapText="1"/>
    </xf>
    <xf numFmtId="0" fontId="0" fillId="0" borderId="8" xfId="0"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2" xfId="0" applyFill="1" applyBorder="1" applyAlignment="1">
      <alignment horizontal="center" vertical="center" wrapText="1"/>
    </xf>
    <xf numFmtId="0" fontId="6" fillId="0" borderId="2" xfId="1" applyBorder="1" applyAlignment="1">
      <alignment horizontal="left" vertical="center" wrapText="1"/>
    </xf>
    <xf numFmtId="0" fontId="6" fillId="0" borderId="1" xfId="1" applyBorder="1" applyAlignment="1">
      <alignment horizontal="left" vertical="center" wrapText="1"/>
    </xf>
    <xf numFmtId="0" fontId="6" fillId="0" borderId="1" xfId="1" applyFill="1" applyBorder="1" applyAlignment="1">
      <alignment vertical="center" wrapText="1"/>
    </xf>
    <xf numFmtId="166" fontId="0" fillId="0" borderId="2" xfId="0" applyNumberFormat="1" applyBorder="1" applyAlignment="1">
      <alignment horizontal="center" vertical="center" wrapText="1"/>
    </xf>
    <xf numFmtId="166" fontId="0" fillId="0" borderId="1" xfId="0" applyNumberFormat="1" applyFont="1" applyBorder="1" applyAlignment="1">
      <alignment horizontal="center" vertical="center" wrapText="1"/>
    </xf>
    <xf numFmtId="0" fontId="6" fillId="0" borderId="5" xfId="1" applyFill="1" applyBorder="1" applyAlignment="1">
      <alignment horizontal="left" vertical="center" wrapText="1"/>
    </xf>
    <xf numFmtId="0" fontId="6" fillId="0" borderId="6" xfId="1" applyFill="1" applyBorder="1" applyAlignment="1">
      <alignment horizontal="left" vertical="center" wrapText="1"/>
    </xf>
    <xf numFmtId="0" fontId="6" fillId="0" borderId="2" xfId="1" applyFill="1" applyBorder="1" applyAlignment="1">
      <alignment horizontal="left" vertical="center" wrapText="1"/>
    </xf>
    <xf numFmtId="0" fontId="2"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7"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2" borderId="1" xfId="0" applyFill="1" applyBorder="1" applyAlignment="1">
      <alignment horizontal="left" vertical="center" wrapText="1"/>
    </xf>
    <xf numFmtId="0" fontId="2" fillId="0" borderId="1" xfId="0" applyFont="1" applyFill="1" applyBorder="1" applyAlignment="1">
      <alignment horizontal="left" vertical="center" wrapText="1"/>
    </xf>
    <xf numFmtId="0" fontId="33" fillId="9" borderId="22" xfId="0" applyFont="1" applyFill="1" applyBorder="1" applyAlignment="1">
      <alignment horizontal="center" vertical="center" wrapText="1"/>
    </xf>
    <xf numFmtId="0" fontId="0" fillId="0" borderId="2" xfId="0" applyBorder="1" applyAlignment="1">
      <alignment horizontal="left"/>
    </xf>
    <xf numFmtId="0" fontId="0" fillId="0" borderId="1" xfId="0" applyBorder="1" applyAlignment="1">
      <alignment horizontal="left" vertical="top"/>
    </xf>
    <xf numFmtId="0" fontId="0" fillId="0" borderId="1" xfId="0" applyBorder="1" applyAlignment="1">
      <alignment horizontal="left"/>
    </xf>
    <xf numFmtId="0" fontId="14" fillId="0" borderId="0" xfId="4" applyAlignment="1">
      <alignment vertical="center" wrapText="1"/>
    </xf>
    <xf numFmtId="0" fontId="14" fillId="0" borderId="0" xfId="4" applyAlignment="1">
      <alignment wrapText="1"/>
    </xf>
    <xf numFmtId="0" fontId="35" fillId="6" borderId="22" xfId="4" applyFont="1" applyFill="1" applyBorder="1" applyAlignment="1">
      <alignment horizontal="center"/>
    </xf>
    <xf numFmtId="0" fontId="33" fillId="9" borderId="50" xfId="0" applyFont="1" applyFill="1" applyBorder="1" applyAlignment="1">
      <alignment horizontal="center" vertical="center" wrapText="1"/>
    </xf>
    <xf numFmtId="0" fontId="33" fillId="9" borderId="0" xfId="0" applyFont="1" applyFill="1" applyBorder="1" applyAlignment="1">
      <alignment horizontal="center" vertical="center" wrapText="1"/>
    </xf>
    <xf numFmtId="0" fontId="0" fillId="0" borderId="24" xfId="0" applyBorder="1" applyAlignment="1">
      <alignment horizontal="left" vertical="top"/>
    </xf>
    <xf numFmtId="0" fontId="0" fillId="0" borderId="43" xfId="0" applyBorder="1" applyAlignment="1">
      <alignment horizontal="left"/>
    </xf>
    <xf numFmtId="0" fontId="0" fillId="0" borderId="51" xfId="0" applyBorder="1" applyAlignment="1">
      <alignment horizontal="left"/>
    </xf>
    <xf numFmtId="0" fontId="0" fillId="0" borderId="52" xfId="0" applyBorder="1" applyAlignment="1">
      <alignment horizontal="left"/>
    </xf>
    <xf numFmtId="0" fontId="0" fillId="0" borderId="7" xfId="0" applyBorder="1" applyAlignment="1">
      <alignment horizontal="left" vertical="top"/>
    </xf>
    <xf numFmtId="0" fontId="0" fillId="0" borderId="15" xfId="0" applyBorder="1" applyAlignment="1">
      <alignment horizontal="left" vertical="top"/>
    </xf>
    <xf numFmtId="0" fontId="14" fillId="8" borderId="4" xfId="4" applyFill="1" applyBorder="1" applyAlignment="1">
      <alignment horizontal="center"/>
    </xf>
    <xf numFmtId="0" fontId="14" fillId="8" borderId="9" xfId="4" applyFill="1" applyBorder="1" applyAlignment="1">
      <alignment horizontal="center"/>
    </xf>
    <xf numFmtId="0" fontId="14" fillId="8" borderId="8" xfId="4" applyFill="1" applyBorder="1" applyAlignment="1">
      <alignment horizontal="center"/>
    </xf>
    <xf numFmtId="0" fontId="0" fillId="0" borderId="24" xfId="0" applyBorder="1" applyAlignment="1">
      <alignment horizontal="left"/>
    </xf>
    <xf numFmtId="0" fontId="14" fillId="0" borderId="48" xfId="4" applyFill="1" applyBorder="1" applyAlignment="1">
      <alignment horizontal="center" vertical="center"/>
    </xf>
    <xf numFmtId="0" fontId="14" fillId="0" borderId="32" xfId="4" applyFill="1" applyBorder="1" applyAlignment="1">
      <alignment horizontal="center" vertical="center"/>
    </xf>
    <xf numFmtId="0" fontId="14" fillId="0" borderId="49" xfId="4" applyFill="1" applyBorder="1" applyAlignment="1">
      <alignment horizontal="center" vertical="center"/>
    </xf>
    <xf numFmtId="0" fontId="14" fillId="0" borderId="33" xfId="4" applyFill="1" applyBorder="1" applyAlignment="1">
      <alignment horizontal="center" vertical="center"/>
    </xf>
    <xf numFmtId="0" fontId="41" fillId="6" borderId="22" xfId="4" applyFont="1" applyFill="1" applyBorder="1" applyAlignment="1">
      <alignment horizontal="center"/>
    </xf>
    <xf numFmtId="17" fontId="14" fillId="0" borderId="20" xfId="4" applyNumberFormat="1" applyFill="1" applyBorder="1" applyAlignment="1">
      <alignment horizontal="left"/>
    </xf>
    <xf numFmtId="17" fontId="14" fillId="0" borderId="21" xfId="4" applyNumberFormat="1" applyFill="1" applyBorder="1" applyAlignment="1">
      <alignment horizontal="left"/>
    </xf>
    <xf numFmtId="0" fontId="35" fillId="6" borderId="22" xfId="4" applyFont="1" applyFill="1" applyBorder="1" applyAlignment="1">
      <alignment horizontal="center" vertical="center" wrapText="1"/>
    </xf>
    <xf numFmtId="0" fontId="10" fillId="0" borderId="4" xfId="0" applyFont="1" applyBorder="1" applyAlignment="1">
      <alignment horizontal="left" wrapText="1"/>
    </xf>
    <xf numFmtId="0" fontId="10" fillId="0" borderId="8" xfId="0" applyFont="1" applyBorder="1" applyAlignment="1">
      <alignment horizontal="left" wrapText="1"/>
    </xf>
    <xf numFmtId="0" fontId="10" fillId="0" borderId="4" xfId="0" applyFont="1" applyBorder="1" applyAlignment="1">
      <alignment horizontal="left" vertical="center"/>
    </xf>
    <xf numFmtId="0" fontId="10" fillId="0" borderId="8" xfId="0" applyFont="1" applyBorder="1" applyAlignment="1">
      <alignment horizontal="left" vertical="center"/>
    </xf>
    <xf numFmtId="0" fontId="10" fillId="0" borderId="4" xfId="0" applyFont="1" applyBorder="1" applyAlignment="1">
      <alignment horizontal="left"/>
    </xf>
    <xf numFmtId="0" fontId="10" fillId="0" borderId="8" xfId="0" applyFont="1" applyBorder="1" applyAlignment="1">
      <alignment horizontal="left"/>
    </xf>
    <xf numFmtId="0" fontId="34" fillId="9" borderId="22" xfId="0" applyFont="1" applyFill="1" applyBorder="1" applyAlignment="1">
      <alignment horizontal="center" vertical="center" wrapText="1"/>
    </xf>
    <xf numFmtId="0" fontId="10" fillId="0" borderId="2" xfId="0" applyFont="1" applyBorder="1" applyAlignment="1">
      <alignment horizontal="left"/>
    </xf>
    <xf numFmtId="0" fontId="10" fillId="0" borderId="1" xfId="0" applyFont="1" applyBorder="1" applyAlignment="1">
      <alignment horizontal="left" vertical="top"/>
    </xf>
    <xf numFmtId="0" fontId="10" fillId="0" borderId="1" xfId="0" applyFont="1" applyBorder="1" applyAlignment="1">
      <alignment horizontal="left"/>
    </xf>
    <xf numFmtId="0" fontId="48" fillId="9" borderId="22" xfId="0" applyFont="1" applyFill="1" applyBorder="1" applyAlignment="1">
      <alignment horizontal="center" vertical="center" wrapText="1"/>
    </xf>
    <xf numFmtId="2" fontId="10" fillId="0" borderId="4" xfId="0" applyNumberFormat="1" applyFont="1" applyBorder="1" applyAlignment="1">
      <alignment horizontal="left"/>
    </xf>
    <xf numFmtId="173" fontId="2" fillId="3" borderId="4" xfId="0" applyNumberFormat="1" applyFont="1" applyFill="1" applyBorder="1" applyAlignment="1">
      <alignment horizontal="center"/>
    </xf>
    <xf numFmtId="173" fontId="2" fillId="3" borderId="9" xfId="0" applyNumberFormat="1" applyFont="1" applyFill="1" applyBorder="1" applyAlignment="1">
      <alignment horizontal="center"/>
    </xf>
    <xf numFmtId="173" fontId="2" fillId="3" borderId="8" xfId="0" applyNumberFormat="1" applyFont="1" applyFill="1" applyBorder="1" applyAlignment="1">
      <alignment horizontal="center"/>
    </xf>
    <xf numFmtId="173" fontId="2" fillId="3" borderId="4" xfId="0" applyNumberFormat="1" applyFont="1" applyFill="1" applyBorder="1" applyAlignment="1">
      <alignment horizontal="center" wrapText="1"/>
    </xf>
    <xf numFmtId="173" fontId="2" fillId="3" borderId="9" xfId="0" applyNumberFormat="1" applyFont="1" applyFill="1" applyBorder="1" applyAlignment="1">
      <alignment horizontal="center" wrapText="1"/>
    </xf>
    <xf numFmtId="173" fontId="2" fillId="3" borderId="8" xfId="0" applyNumberFormat="1" applyFont="1" applyFill="1" applyBorder="1" applyAlignment="1">
      <alignment horizontal="center" wrapText="1"/>
    </xf>
    <xf numFmtId="0" fontId="2" fillId="0" borderId="0" xfId="5" applyFont="1" applyAlignment="1">
      <alignment horizontal="left"/>
    </xf>
    <xf numFmtId="0" fontId="24" fillId="0" borderId="0" xfId="5" applyFont="1" applyAlignment="1">
      <alignment horizontal="center" vertical="center"/>
    </xf>
    <xf numFmtId="0" fontId="26" fillId="0" borderId="0" xfId="5" applyFont="1" applyAlignment="1">
      <alignment horizontal="center" vertical="center"/>
    </xf>
    <xf numFmtId="0" fontId="10" fillId="0" borderId="0" xfId="5" applyAlignment="1">
      <alignment horizontal="center" vertical="center"/>
    </xf>
    <xf numFmtId="0" fontId="27" fillId="10" borderId="0" xfId="5" applyFont="1" applyFill="1" applyAlignment="1">
      <alignment horizontal="center" vertical="center" textRotation="90" wrapText="1"/>
    </xf>
    <xf numFmtId="2" fontId="27" fillId="3" borderId="0" xfId="5" applyNumberFormat="1" applyFont="1" applyFill="1" applyAlignment="1">
      <alignment horizontal="center" vertical="center" textRotation="180" wrapText="1"/>
    </xf>
  </cellXfs>
  <cellStyles count="8">
    <cellStyle name="Lien hypertexte" xfId="1" builtinId="8"/>
    <cellStyle name="Monétaire" xfId="2" builtinId="4"/>
    <cellStyle name="Monétaire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Standaard 2" xfId="7" xr:uid="{00000000-0005-0000-0000-000007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1041400</xdr:colOff>
      <xdr:row>0</xdr:row>
      <xdr:rowOff>622300</xdr:rowOff>
    </xdr:to>
    <xdr:pic>
      <xdr:nvPicPr>
        <xdr:cNvPr id="1129" name="Image 1">
          <a:extLst>
            <a:ext uri="{FF2B5EF4-FFF2-40B4-BE49-F238E27FC236}">
              <a16:creationId xmlns:a16="http://schemas.microsoft.com/office/drawing/2014/main" id="{3A72C708-C7D9-464D-83AA-11A38C819F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28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86995</xdr:colOff>
      <xdr:row>0</xdr:row>
      <xdr:rowOff>83820</xdr:rowOff>
    </xdr:from>
    <xdr:to>
      <xdr:col>6</xdr:col>
      <xdr:colOff>172496</xdr:colOff>
      <xdr:row>2</xdr:row>
      <xdr:rowOff>199390</xdr:rowOff>
    </xdr:to>
    <xdr:sp macro="" textlink="">
      <xdr:nvSpPr>
        <xdr:cNvPr id="2" name="Tekst 11">
          <a:extLst>
            <a:ext uri="{FF2B5EF4-FFF2-40B4-BE49-F238E27FC236}">
              <a16:creationId xmlns:a16="http://schemas.microsoft.com/office/drawing/2014/main" id="{E60E1F02-0C7D-1B47-80CB-CC2EA3F72F21}"/>
            </a:ext>
          </a:extLst>
        </xdr:cNvPr>
        <xdr:cNvSpPr txBox="1">
          <a:spLocks noChangeArrowheads="1"/>
        </xdr:cNvSpPr>
      </xdr:nvSpPr>
      <xdr:spPr bwMode="auto">
        <a:xfrm>
          <a:off x="86995" y="83820"/>
          <a:ext cx="3260501" cy="163957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FOD Economie, K.M.O., Middenstand &amp; Energie</a:t>
          </a:r>
        </a:p>
        <a:p>
          <a:pPr algn="ctr" rtl="0">
            <a:defRPr sz="1000"/>
          </a:pPr>
          <a:r>
            <a:rPr lang="en-US" sz="1000" b="0" i="0" u="none" strike="noStrike" baseline="0">
              <a:solidFill>
                <a:srgbClr val="000000"/>
              </a:solidFill>
              <a:latin typeface="Arial"/>
              <a:cs typeface="Arial"/>
            </a:rPr>
            <a:t>Statistiek en Economische Informatie</a:t>
          </a:r>
        </a:p>
        <a:p>
          <a:pPr algn="ctr" rtl="0">
            <a:defRPr sz="1000"/>
          </a:pPr>
          <a:r>
            <a:rPr lang="en-US" sz="1000" b="0" i="0" u="none" strike="noStrike" baseline="0">
              <a:solidFill>
                <a:srgbClr val="000000"/>
              </a:solidFill>
              <a:latin typeface="Arial"/>
              <a:cs typeface="Arial"/>
            </a:rPr>
            <a:t>Thematische Directie Prijzen</a:t>
          </a:r>
        </a:p>
        <a:p>
          <a:pPr algn="ctr" rtl="0">
            <a:defRPr sz="1000"/>
          </a:pPr>
          <a:r>
            <a:rPr lang="en-US" sz="1000" b="0" i="0" u="none" strike="noStrike" baseline="0">
              <a:solidFill>
                <a:srgbClr val="000000"/>
              </a:solidFill>
              <a:latin typeface="Arial"/>
              <a:cs typeface="Arial"/>
            </a:rPr>
            <a:t>Simon Bolivarlaan 30 - 1000 Brussel</a:t>
          </a:r>
        </a:p>
        <a:p>
          <a:pPr algn="ctr" rtl="0">
            <a:defRPr sz="1000"/>
          </a:pPr>
          <a:r>
            <a:rPr lang="en-US" sz="1000" b="0" i="0" u="none" strike="noStrike" baseline="0">
              <a:solidFill>
                <a:srgbClr val="000000"/>
              </a:solidFill>
              <a:latin typeface="Arial"/>
              <a:cs typeface="Arial"/>
            </a:rPr>
            <a:t>Tel. : 02/277.51.11 - Fax : 02/277.96.15</a:t>
          </a:r>
        </a:p>
        <a:p>
          <a:pPr algn="ctr" rtl="0">
            <a:defRPr sz="1000"/>
          </a:pPr>
          <a:r>
            <a:rPr lang="en-US" sz="1000" b="0" i="0" u="none" strike="noStrike" baseline="0">
              <a:solidFill>
                <a:srgbClr val="000000"/>
              </a:solidFill>
              <a:latin typeface="Arial"/>
              <a:cs typeface="Arial"/>
            </a:rPr>
            <a:t>Autom. antwoordapparaat : 02/277.56.40</a:t>
          </a:r>
        </a:p>
        <a:p>
          <a:pPr algn="ctr" rtl="0">
            <a:defRPr sz="1000"/>
          </a:pPr>
          <a:r>
            <a:rPr lang="en-US" sz="1000" b="0" i="0" u="none" strike="noStrike" baseline="0">
              <a:solidFill>
                <a:srgbClr val="000000"/>
              </a:solidFill>
              <a:latin typeface="Arial"/>
              <a:cs typeface="Arial"/>
            </a:rPr>
            <a:t>http://economie.fgov.be</a:t>
          </a:r>
        </a:p>
        <a:p>
          <a:pPr algn="ctr" rtl="0">
            <a:defRPr sz="1000"/>
          </a:pPr>
          <a:r>
            <a:rPr lang="en-US" sz="1000" b="0" i="0" u="none" strike="noStrike" baseline="0">
              <a:solidFill>
                <a:srgbClr val="000000"/>
              </a:solidFill>
              <a:latin typeface="Arial"/>
              <a:cs typeface="Arial"/>
            </a:rPr>
            <a:t>http://statbel.fgov.be</a:t>
          </a:r>
        </a:p>
        <a:p>
          <a:pPr algn="ctr" rtl="0">
            <a:defRPr sz="1000"/>
          </a:pPr>
          <a:r>
            <a:rPr lang="en-US" sz="1000" b="0" i="0" u="none" strike="noStrike" baseline="0">
              <a:solidFill>
                <a:srgbClr val="000000"/>
              </a:solidFill>
              <a:latin typeface="Arial"/>
              <a:cs typeface="Arial"/>
            </a:rPr>
            <a:t>e-mail : ind@economie.fgov.be</a:t>
          </a:r>
          <a:endParaRPr lang="en-US"/>
        </a:p>
      </xdr:txBody>
    </xdr:sp>
    <xdr:clientData/>
  </xdr:twoCellAnchor>
  <xdr:twoCellAnchor>
    <xdr:from>
      <xdr:col>6</xdr:col>
      <xdr:colOff>342900</xdr:colOff>
      <xdr:row>0</xdr:row>
      <xdr:rowOff>83820</xdr:rowOff>
    </xdr:from>
    <xdr:to>
      <xdr:col>11</xdr:col>
      <xdr:colOff>848251</xdr:colOff>
      <xdr:row>2</xdr:row>
      <xdr:rowOff>196215</xdr:rowOff>
    </xdr:to>
    <xdr:sp macro="" textlink="">
      <xdr:nvSpPr>
        <xdr:cNvPr id="3" name="Tekst 12">
          <a:extLst>
            <a:ext uri="{FF2B5EF4-FFF2-40B4-BE49-F238E27FC236}">
              <a16:creationId xmlns:a16="http://schemas.microsoft.com/office/drawing/2014/main" id="{987A769B-7449-A14A-9E92-2183A91864CD}"/>
            </a:ext>
          </a:extLst>
        </xdr:cNvPr>
        <xdr:cNvSpPr txBox="1">
          <a:spLocks noChangeArrowheads="1"/>
        </xdr:cNvSpPr>
      </xdr:nvSpPr>
      <xdr:spPr bwMode="auto">
        <a:xfrm>
          <a:off x="3517900" y="83820"/>
          <a:ext cx="3426351" cy="163639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SPF Economie, P.M.E., Classes moyennes &amp; Energie</a:t>
          </a:r>
        </a:p>
        <a:p>
          <a:pPr algn="ctr" rtl="0">
            <a:defRPr sz="1000"/>
          </a:pPr>
          <a:r>
            <a:rPr lang="en-US" sz="1000" b="0" i="0" u="none" strike="noStrike" baseline="0">
              <a:solidFill>
                <a:srgbClr val="000000"/>
              </a:solidFill>
              <a:latin typeface="Arial"/>
              <a:cs typeface="Arial"/>
            </a:rPr>
            <a:t>Statistique et Information économique</a:t>
          </a:r>
        </a:p>
        <a:p>
          <a:pPr algn="ctr" rtl="0">
            <a:defRPr sz="1000"/>
          </a:pPr>
          <a:r>
            <a:rPr lang="en-US" sz="1000" b="0" i="0" u="none" strike="noStrike" baseline="0">
              <a:solidFill>
                <a:srgbClr val="000000"/>
              </a:solidFill>
              <a:latin typeface="Arial"/>
              <a:cs typeface="Arial"/>
            </a:rPr>
            <a:t>Direction Thématique Prix</a:t>
          </a:r>
        </a:p>
        <a:p>
          <a:pPr algn="ctr" rtl="0">
            <a:defRPr sz="1000"/>
          </a:pPr>
          <a:r>
            <a:rPr lang="en-US" sz="1000" b="0" i="0" u="none" strike="noStrike" baseline="0">
              <a:solidFill>
                <a:srgbClr val="000000"/>
              </a:solidFill>
              <a:latin typeface="Arial"/>
              <a:cs typeface="Arial"/>
            </a:rPr>
            <a:t>Bouelvard Simon Bolivar 30 - 1000 Bruxelles</a:t>
          </a:r>
        </a:p>
        <a:p>
          <a:pPr algn="ctr" rtl="0">
            <a:defRPr sz="1000"/>
          </a:pPr>
          <a:r>
            <a:rPr lang="en-US" sz="1000" b="0" i="0" u="none" strike="noStrike" baseline="0">
              <a:solidFill>
                <a:srgbClr val="000000"/>
              </a:solidFill>
              <a:latin typeface="Arial"/>
              <a:cs typeface="Arial"/>
            </a:rPr>
            <a:t>Tél. : 02/277.51.11 - Fax : 02/277.96.15</a:t>
          </a:r>
        </a:p>
        <a:p>
          <a:pPr algn="ctr" rtl="0">
            <a:defRPr sz="1000"/>
          </a:pPr>
          <a:r>
            <a:rPr lang="en-US" sz="1000" b="0" i="0" u="none" strike="noStrike" baseline="0">
              <a:solidFill>
                <a:srgbClr val="000000"/>
              </a:solidFill>
              <a:latin typeface="Arial"/>
              <a:cs typeface="Arial"/>
            </a:rPr>
            <a:t>Répondeur automatique : 02/276.56.40</a:t>
          </a:r>
        </a:p>
        <a:p>
          <a:pPr algn="ctr" rtl="0">
            <a:defRPr sz="1000"/>
          </a:pPr>
          <a:r>
            <a:rPr lang="en-US" sz="1000" b="0" i="0" u="none" strike="noStrike" baseline="0">
              <a:solidFill>
                <a:srgbClr val="000000"/>
              </a:solidFill>
              <a:latin typeface="Arial"/>
              <a:cs typeface="Arial"/>
            </a:rPr>
            <a:t>http://economie.fgov.be</a:t>
          </a:r>
        </a:p>
        <a:p>
          <a:pPr algn="ctr" rtl="0">
            <a:defRPr sz="1000"/>
          </a:pPr>
          <a:r>
            <a:rPr lang="en-US" sz="1000" b="0" i="0" u="none" strike="noStrike" baseline="0">
              <a:solidFill>
                <a:srgbClr val="000000"/>
              </a:solidFill>
              <a:latin typeface="Arial"/>
              <a:cs typeface="Arial"/>
            </a:rPr>
            <a:t>http://statbel.fgov.be</a:t>
          </a:r>
        </a:p>
        <a:p>
          <a:pPr algn="ctr" rtl="0">
            <a:defRPr sz="1000"/>
          </a:pPr>
          <a:r>
            <a:rPr lang="en-US" sz="1000" b="0" i="0" u="none" strike="noStrike" baseline="0">
              <a:solidFill>
                <a:srgbClr val="000000"/>
              </a:solidFill>
              <a:latin typeface="Arial"/>
              <a:cs typeface="Arial"/>
            </a:rPr>
            <a:t>e-mail : ind@economie.fgov.be</a:t>
          </a:r>
          <a:endParaRPr lang="en-US"/>
        </a:p>
      </xdr:txBody>
    </xdr:sp>
    <xdr:clientData/>
  </xdr:twoCellAnchor>
  <xdr:twoCellAnchor>
    <xdr:from>
      <xdr:col>16</xdr:col>
      <xdr:colOff>38100</xdr:colOff>
      <xdr:row>431</xdr:row>
      <xdr:rowOff>0</xdr:rowOff>
    </xdr:from>
    <xdr:to>
      <xdr:col>16</xdr:col>
      <xdr:colOff>622300</xdr:colOff>
      <xdr:row>440</xdr:row>
      <xdr:rowOff>101600</xdr:rowOff>
    </xdr:to>
    <xdr:sp macro="" textlink="">
      <xdr:nvSpPr>
        <xdr:cNvPr id="3115" name="Flèche vers le bas 3">
          <a:extLst>
            <a:ext uri="{FF2B5EF4-FFF2-40B4-BE49-F238E27FC236}">
              <a16:creationId xmlns:a16="http://schemas.microsoft.com/office/drawing/2014/main" id="{E88D3F6C-087F-494C-BD15-89EE582070D0}"/>
            </a:ext>
          </a:extLst>
        </xdr:cNvPr>
        <xdr:cNvSpPr>
          <a:spLocks noChangeArrowheads="1"/>
        </xdr:cNvSpPr>
      </xdr:nvSpPr>
      <xdr:spPr bwMode="auto">
        <a:xfrm>
          <a:off x="9753600" y="75526900"/>
          <a:ext cx="584200" cy="1587500"/>
        </a:xfrm>
        <a:prstGeom prst="downArrow">
          <a:avLst>
            <a:gd name="adj1" fmla="val 50000"/>
            <a:gd name="adj2" fmla="val 49995"/>
          </a:avLst>
        </a:prstGeom>
        <a:solidFill>
          <a:srgbClr val="DBEEF4"/>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fr-FR"/>
        </a:p>
      </xdr:txBody>
    </xdr:sp>
    <xdr:clientData/>
  </xdr:twoCellAnchor>
</xdr:wsDr>
</file>

<file path=xl/theme/theme1.xml><?xml version="1.0" encoding="utf-8"?>
<a:theme xmlns:a="http://schemas.openxmlformats.org/drawingml/2006/main" name="Thème Office">
  <a:themeElements>
    <a:clrScheme name="CESSoC v1">
      <a:dk1>
        <a:srgbClr val="000000"/>
      </a:dk1>
      <a:lt1>
        <a:sysClr val="window" lastClr="FFFFFF"/>
      </a:lt1>
      <a:dk2>
        <a:srgbClr val="00383D"/>
      </a:dk2>
      <a:lt2>
        <a:srgbClr val="EEECE1"/>
      </a:lt2>
      <a:accent1>
        <a:srgbClr val="00383D"/>
      </a:accent1>
      <a:accent2>
        <a:srgbClr val="CC006A"/>
      </a:accent2>
      <a:accent3>
        <a:srgbClr val="73B632"/>
      </a:accent3>
      <a:accent4>
        <a:srgbClr val="E47823"/>
      </a:accent4>
      <a:accent5>
        <a:srgbClr val="00A5D8"/>
      </a:accent5>
      <a:accent6>
        <a:srgbClr val="E17CA6"/>
      </a:accent6>
      <a:hlink>
        <a:srgbClr val="60BDE0"/>
      </a:hlink>
      <a:folHlink>
        <a:srgbClr val="F1B573"/>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mploi.belgique.be/defaultNews.aspx?id=45451" TargetMode="External"/><Relationship Id="rId13" Type="http://schemas.openxmlformats.org/officeDocument/2006/relationships/hyperlink" Target="http://www.cessoc.be/content/salaire-minimum-garanti" TargetMode="External"/><Relationship Id="rId18" Type="http://schemas.openxmlformats.org/officeDocument/2006/relationships/hyperlink" Target="http://www.ejustice.just.fgov.be/cgi_loi/loi_a1.pl?imgcn.x=48&amp;imgcn.y=10&amp;DETAIL=2002042543%2FF&amp;caller=list&amp;row_id=1&amp;numero=3&amp;rech=3&amp;cn=2002042543&amp;table_name=LOI&amp;nm=2002027463&amp;la=F&amp;chercher=t&amp;dt=DECRET+REGION+WALLONNE&amp;language=fr&amp;fr=f&amp;choix1=ET&amp;cho" TargetMode="External"/><Relationship Id="rId26" Type="http://schemas.openxmlformats.org/officeDocument/2006/relationships/hyperlink" Target="http://www.ejustice.just.fgov.be/cgi/article_body.pl?language=fr&amp;caller=summary&amp;pub_date=2017-05-30&amp;numac=2017202519" TargetMode="External"/><Relationship Id="rId3" Type="http://schemas.openxmlformats.org/officeDocument/2006/relationships/hyperlink" Target="http://www.emploi.belgique.be/defaultNews.aspx?id=45451" TargetMode="External"/><Relationship Id="rId21" Type="http://schemas.openxmlformats.org/officeDocument/2006/relationships/hyperlink" Target="http://www.ejustice.just.fgov.be/mopdf/2016/12/16_2.pdf" TargetMode="External"/><Relationship Id="rId7" Type="http://schemas.openxmlformats.org/officeDocument/2006/relationships/hyperlink" Target="http://www.cessoc.be/outils/baremes/grilles" TargetMode="External"/><Relationship Id="rId12" Type="http://schemas.openxmlformats.org/officeDocument/2006/relationships/hyperlink" Target="http://www.cessoc.be/content/frais-de-deplacement-domicile-lieu-de-travail" TargetMode="External"/><Relationship Id="rId17" Type="http://schemas.openxmlformats.org/officeDocument/2006/relationships/hyperlink" Target="http://www.plan.be/databases/17-fr-30-78-indice+des+prix+a+la+consommation+previsions+de+l+inflation" TargetMode="External"/><Relationship Id="rId25" Type="http://schemas.openxmlformats.org/officeDocument/2006/relationships/hyperlink" Target="http://finances.belgium.be/sites/default/files/downloads/702-indexation-automatique-2018.pdf" TargetMode="External"/><Relationship Id="rId2" Type="http://schemas.openxmlformats.org/officeDocument/2006/relationships/hyperlink" Target="http://www.emploi.belgique.be/defaultNews.aspx?id=45451" TargetMode="External"/><Relationship Id="rId16" Type="http://schemas.openxmlformats.org/officeDocument/2006/relationships/hyperlink" Target="http://www.gallilex.cfwb.be/document/pdf/33576_009.pdf" TargetMode="External"/><Relationship Id="rId20" Type="http://schemas.openxmlformats.org/officeDocument/2006/relationships/hyperlink" Target="http://www.guichetdesarts.be/ressource/ressource-b-1/" TargetMode="External"/><Relationship Id="rId29" Type="http://schemas.openxmlformats.org/officeDocument/2006/relationships/vmlDrawing" Target="../drawings/vmlDrawing1.vml"/><Relationship Id="rId1" Type="http://schemas.openxmlformats.org/officeDocument/2006/relationships/hyperlink" Target="http://emploi.wallonie.be/Pour_Vous/Associations/APE/avantages.html" TargetMode="External"/><Relationship Id="rId6" Type="http://schemas.openxmlformats.org/officeDocument/2006/relationships/hyperlink" Target="http://www.cnt.be/Cct-montants.htm" TargetMode="External"/><Relationship Id="rId11" Type="http://schemas.openxmlformats.org/officeDocument/2006/relationships/hyperlink" Target="http://www.cessoc.be/cct-thematique/138" TargetMode="External"/><Relationship Id="rId24" Type="http://schemas.openxmlformats.org/officeDocument/2006/relationships/hyperlink" Target="http://finances.belgium.be/sites/default/files/downloads/702-indexation-automatique-2018.pdf" TargetMode="External"/><Relationship Id="rId5" Type="http://schemas.openxmlformats.org/officeDocument/2006/relationships/hyperlink" Target="http://www.emploi.belgique.be/defaultTab.aspx?id=442" TargetMode="External"/><Relationship Id="rId15" Type="http://schemas.openxmlformats.org/officeDocument/2006/relationships/hyperlink" Target="http://www.emploi.belgique.be/defaultTab.aspx?id=41951" TargetMode="External"/><Relationship Id="rId23" Type="http://schemas.openxmlformats.org/officeDocument/2006/relationships/hyperlink" Target="http://www.riziv.fgov.be/fr/themes/incapacite-travail/montants/salaries-chomeurs/Pages/indemnite-autorisee-travail-volontaire.aspx" TargetMode="External"/><Relationship Id="rId28" Type="http://schemas.openxmlformats.org/officeDocument/2006/relationships/drawing" Target="../drawings/drawing1.xml"/><Relationship Id="rId10" Type="http://schemas.openxmlformats.org/officeDocument/2006/relationships/hyperlink" Target="http://www.cessoc.be/content/frais-de-deplacement-domicile-lieu-de-travail-0" TargetMode="External"/><Relationship Id="rId19" Type="http://schemas.openxmlformats.org/officeDocument/2006/relationships/hyperlink" Target="http://www.guichetdesarts.be/ressource/ressource-b-1/" TargetMode="External"/><Relationship Id="rId4" Type="http://schemas.openxmlformats.org/officeDocument/2006/relationships/hyperlink" Target="http://www.cnt-nar.be/Cct-montants.htm" TargetMode="External"/><Relationship Id="rId9" Type="http://schemas.openxmlformats.org/officeDocument/2006/relationships/hyperlink" Target="http://www.ejustice.just.fgov.be/cgi/article_body.pl?language=fr&amp;caller=summary&amp;pub_date=2016-11-25&amp;numac=2016205537" TargetMode="External"/><Relationship Id="rId14" Type="http://schemas.openxmlformats.org/officeDocument/2006/relationships/hyperlink" Target="http://www.cessoc.be/outils/pfa" TargetMode="External"/><Relationship Id="rId22" Type="http://schemas.openxmlformats.org/officeDocument/2006/relationships/hyperlink" Target="http://www.ejustice.just.fgov.be/cgi_loi/change_lg.pl?language=fr&amp;la=F&amp;cn=1969112801&amp;table_name=loi" TargetMode="External"/><Relationship Id="rId27" Type="http://schemas.openxmlformats.org/officeDocument/2006/relationships/hyperlink" Target="http://www.riziv.fgov.be/fr/themes/incapacite-travail/montants/salaries-chomeurs/Pages/indemnite-autorisee-travail-volontaire.aspx" TargetMode="External"/><Relationship Id="rId3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ejustice.just.fgov.be/cgi/article_body.pl?language=fr&amp;caller=summary&amp;pub_date=2017-06-23&amp;numac=2017012538" TargetMode="External"/><Relationship Id="rId2" Type="http://schemas.openxmlformats.org/officeDocument/2006/relationships/hyperlink" Target="http://www.ejustice.just.fgov.be/cgi/article_body.pl?language=fr&amp;caller=summary&amp;pub_date=2017-06-23&amp;numac=2017012538" TargetMode="External"/><Relationship Id="rId1" Type="http://schemas.openxmlformats.org/officeDocument/2006/relationships/hyperlink" Target="http://www.ejustice.just.fgov.be/cgi/article_body.pl?language=fr&amp;caller=summary&amp;pub_date=2017-06-23&amp;numac=2017012538" TargetMode="External"/><Relationship Id="rId6" Type="http://schemas.openxmlformats.org/officeDocument/2006/relationships/hyperlink" Target="https://fedweb.belgium.be/sites/default/files/Circ_Ozb_666_Kilometervergoeding_indemnite_kilometrique.pdf" TargetMode="External"/><Relationship Id="rId5" Type="http://schemas.openxmlformats.org/officeDocument/2006/relationships/hyperlink" Target="https://fedweb.belgium.be/sites/default/files/Circ_Ozb_666_Kilometervergoeding_indemnite_kilometrique.pdf" TargetMode="External"/><Relationship Id="rId4" Type="http://schemas.openxmlformats.org/officeDocument/2006/relationships/hyperlink" Target="https://fedweb.belgium.be/sites/default/files/Circ_Ozb_666_Kilometervergoeding_indemnite_kilometrique.pdf" TargetMode="Externa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9"/>
  <sheetViews>
    <sheetView tabSelected="1" zoomScaleNormal="100" workbookViewId="0">
      <pane xSplit="3" ySplit="3" topLeftCell="T31" activePane="bottomRight" state="frozen"/>
      <selection pane="topRight" activeCell="D1" sqref="D1"/>
      <selection pane="bottomLeft" activeCell="A4" sqref="A4"/>
      <selection pane="bottomRight" activeCell="T27" sqref="T27"/>
    </sheetView>
  </sheetViews>
  <sheetFormatPr baseColWidth="10" defaultColWidth="11.5" defaultRowHeight="13"/>
  <cols>
    <col min="1" max="1" width="13.6640625" style="1" customWidth="1"/>
    <col min="2" max="2" width="32" style="1" customWidth="1"/>
    <col min="3" max="3" width="27.33203125" style="1" customWidth="1"/>
    <col min="4" max="4" width="10.6640625" style="2" customWidth="1"/>
    <col min="5" max="5" width="10" style="2" customWidth="1"/>
    <col min="6" max="9" width="16.33203125" style="2" customWidth="1"/>
    <col min="10" max="10" width="20.83203125" style="2" customWidth="1"/>
    <col min="11" max="12" width="18.5" style="2" customWidth="1"/>
    <col min="13" max="14" width="20.33203125" style="2" customWidth="1"/>
    <col min="15" max="21" width="21.33203125" style="100" customWidth="1"/>
    <col min="22" max="22" width="18" style="3" customWidth="1"/>
    <col min="23" max="23" width="16.6640625" style="3" customWidth="1"/>
    <col min="24" max="24" width="48.83203125" style="1" customWidth="1"/>
    <col min="25" max="25" width="49.6640625" style="1" customWidth="1"/>
    <col min="26" max="26" width="13.1640625" style="1" customWidth="1"/>
    <col min="27" max="27" width="12.6640625" style="1" customWidth="1"/>
    <col min="28" max="28" width="12.33203125" style="1" customWidth="1"/>
    <col min="29" max="16384" width="11.5" style="1"/>
  </cols>
  <sheetData>
    <row r="1" spans="1:29" ht="54" customHeight="1">
      <c r="A1" s="377" t="s">
        <v>131</v>
      </c>
      <c r="B1" s="377"/>
      <c r="C1" s="377"/>
      <c r="D1" s="377"/>
      <c r="E1" s="377"/>
      <c r="F1" s="377"/>
      <c r="G1" s="377"/>
      <c r="H1" s="377"/>
      <c r="I1" s="377"/>
      <c r="J1" s="377"/>
      <c r="K1" s="377"/>
      <c r="L1" s="377"/>
      <c r="M1" s="377"/>
      <c r="N1" s="377"/>
      <c r="O1" s="377"/>
      <c r="P1" s="377"/>
      <c r="Q1" s="377"/>
      <c r="R1" s="377"/>
      <c r="S1" s="377"/>
      <c r="T1" s="377"/>
      <c r="U1" s="377"/>
      <c r="V1" s="377"/>
      <c r="W1" s="377"/>
      <c r="X1" s="377"/>
    </row>
    <row r="2" spans="1:29" s="4" customFormat="1" ht="51">
      <c r="A2" s="378" t="s">
        <v>21</v>
      </c>
      <c r="B2" s="378"/>
      <c r="C2" s="378"/>
      <c r="D2" s="87">
        <v>2005</v>
      </c>
      <c r="E2" s="87">
        <v>2006</v>
      </c>
      <c r="F2" s="88">
        <v>2009</v>
      </c>
      <c r="G2" s="88">
        <v>2010</v>
      </c>
      <c r="H2" s="88">
        <v>2011</v>
      </c>
      <c r="I2" s="88">
        <v>2012</v>
      </c>
      <c r="J2" s="88">
        <v>2013</v>
      </c>
      <c r="K2" s="88">
        <v>2014</v>
      </c>
      <c r="L2" s="254">
        <v>2015</v>
      </c>
      <c r="M2" s="89">
        <v>2016</v>
      </c>
      <c r="N2" s="255">
        <v>2016</v>
      </c>
      <c r="O2" s="378">
        <v>2017</v>
      </c>
      <c r="P2" s="378"/>
      <c r="Q2" s="381"/>
      <c r="R2" s="382">
        <v>2018</v>
      </c>
      <c r="S2" s="383"/>
      <c r="T2" s="383"/>
      <c r="U2" s="384"/>
      <c r="V2" s="382">
        <v>2019</v>
      </c>
      <c r="W2" s="383"/>
      <c r="X2" s="384"/>
      <c r="Y2" s="97" t="s">
        <v>22</v>
      </c>
      <c r="Z2" s="88" t="s">
        <v>235</v>
      </c>
      <c r="AA2" s="88" t="s">
        <v>23</v>
      </c>
      <c r="AB2" s="89" t="s">
        <v>101</v>
      </c>
    </row>
    <row r="3" spans="1:29" s="4" customFormat="1" ht="16">
      <c r="A3" s="93"/>
      <c r="B3" s="93"/>
      <c r="C3" s="93"/>
      <c r="D3" s="94"/>
      <c r="E3" s="94"/>
      <c r="F3" s="93"/>
      <c r="G3" s="93"/>
      <c r="H3" s="93"/>
      <c r="I3" s="93"/>
      <c r="J3" s="93"/>
      <c r="K3" s="93"/>
      <c r="L3" s="96">
        <v>42369</v>
      </c>
      <c r="M3" s="253">
        <v>42370</v>
      </c>
      <c r="N3" s="253">
        <v>42552</v>
      </c>
      <c r="O3" s="253">
        <v>42736</v>
      </c>
      <c r="P3" s="263">
        <v>42917</v>
      </c>
      <c r="Q3" s="306">
        <v>42979</v>
      </c>
      <c r="R3" s="305">
        <v>43101</v>
      </c>
      <c r="S3" s="304">
        <v>43282</v>
      </c>
      <c r="T3" s="304">
        <v>43344</v>
      </c>
      <c r="U3" s="305">
        <v>43296</v>
      </c>
      <c r="V3" s="305">
        <v>43466</v>
      </c>
      <c r="W3" s="304">
        <v>43647</v>
      </c>
      <c r="X3" s="304">
        <v>43709</v>
      </c>
      <c r="Y3" s="93"/>
      <c r="Z3" s="93"/>
      <c r="AA3" s="93"/>
      <c r="AB3" s="95"/>
    </row>
    <row r="4" spans="1:29" ht="24.75" customHeight="1">
      <c r="A4" s="379" t="s">
        <v>24</v>
      </c>
      <c r="B4" s="380" t="s">
        <v>233</v>
      </c>
      <c r="C4" s="380"/>
      <c r="D4" s="13">
        <v>27.37</v>
      </c>
      <c r="E4" s="13">
        <v>27.92</v>
      </c>
      <c r="F4" s="13">
        <v>30.22</v>
      </c>
      <c r="G4" s="13">
        <v>30.22</v>
      </c>
      <c r="H4" s="13">
        <v>30.82</v>
      </c>
      <c r="I4" s="13">
        <v>31.44</v>
      </c>
      <c r="J4" s="85">
        <v>32.71</v>
      </c>
      <c r="K4" s="130">
        <f>INDEX('Volontariat - montants'!$A$2:$B$20,'Chiffres utiles 2013-2019'!K2-2004,2)</f>
        <v>32.71</v>
      </c>
      <c r="L4" s="130">
        <f>INDEX('Volontariat - montants'!$A$2:$B$20,'Chiffres utiles 2013-2019'!L2-2004,2)</f>
        <v>32.71</v>
      </c>
      <c r="M4" s="130">
        <f>INDEX('Volontariat - montants'!$A$2:$B$20,'Chiffres utiles 2013-2019'!M2-2004,2)</f>
        <v>32.71</v>
      </c>
      <c r="N4" s="140">
        <f>INDEX([0]!Volontariat,'Chiffres utiles 2013-2019'!N$2-2004,2)</f>
        <v>32.71</v>
      </c>
      <c r="O4" s="207">
        <f>INDEX([0]!Volontariat,'Chiffres utiles 2013-2019'!O$2-2004,2)</f>
        <v>33.36</v>
      </c>
      <c r="P4" s="264">
        <v>33.36</v>
      </c>
      <c r="Q4" s="266">
        <v>33.36</v>
      </c>
      <c r="R4" s="310">
        <v>34.03</v>
      </c>
      <c r="S4" s="284">
        <v>34.03</v>
      </c>
      <c r="T4" s="284">
        <v>34.03</v>
      </c>
      <c r="U4" s="284"/>
      <c r="V4" s="337">
        <v>34.71</v>
      </c>
      <c r="W4" s="284"/>
      <c r="X4" s="284"/>
      <c r="Y4" s="402" t="s">
        <v>25</v>
      </c>
      <c r="Z4" s="394" t="s">
        <v>4</v>
      </c>
      <c r="AA4" s="391" t="s">
        <v>281</v>
      </c>
      <c r="AB4" s="86"/>
    </row>
    <row r="5" spans="1:29" ht="21.75" customHeight="1">
      <c r="A5" s="368"/>
      <c r="B5" s="366" t="s">
        <v>234</v>
      </c>
      <c r="C5" s="366"/>
      <c r="D5" s="12">
        <v>1094.79</v>
      </c>
      <c r="E5" s="12">
        <v>1116.71</v>
      </c>
      <c r="F5" s="12">
        <v>1208.72</v>
      </c>
      <c r="G5" s="12">
        <v>1208.72</v>
      </c>
      <c r="H5" s="12">
        <v>1232.92</v>
      </c>
      <c r="I5" s="12">
        <v>1257.51</v>
      </c>
      <c r="J5" s="49">
        <v>1308.3800000000001</v>
      </c>
      <c r="K5" s="131">
        <v>1308.3800000000001</v>
      </c>
      <c r="L5" s="131">
        <v>1308.3800000000001</v>
      </c>
      <c r="M5" s="131">
        <v>1308.3800000000001</v>
      </c>
      <c r="N5" s="141">
        <f>INDEX([0]!Volontariat,'Chiffres utiles 2013-2019'!N$2-2004,3)</f>
        <v>1308.3800000000001</v>
      </c>
      <c r="O5" s="208">
        <f>INDEX([0]!Volontariat,'Chiffres utiles 2013-2019'!O$2-2004,3)</f>
        <v>1334.55</v>
      </c>
      <c r="P5" s="215">
        <v>1334.55</v>
      </c>
      <c r="Q5" s="267">
        <v>1334.55</v>
      </c>
      <c r="R5" s="311">
        <v>1361.23</v>
      </c>
      <c r="S5" s="285">
        <v>1361.23</v>
      </c>
      <c r="T5" s="285">
        <v>1361.23</v>
      </c>
      <c r="U5" s="285"/>
      <c r="V5" s="338">
        <v>1388.4</v>
      </c>
      <c r="W5" s="285"/>
      <c r="X5" s="285"/>
      <c r="Y5" s="365"/>
      <c r="Z5" s="395"/>
      <c r="AA5" s="392"/>
      <c r="AB5" s="50"/>
    </row>
    <row r="6" spans="1:29" ht="21.75" customHeight="1">
      <c r="A6" s="48"/>
      <c r="B6" s="380" t="s">
        <v>291</v>
      </c>
      <c r="C6" s="380"/>
      <c r="D6" s="12"/>
      <c r="E6" s="12"/>
      <c r="F6" s="12"/>
      <c r="G6" s="12"/>
      <c r="H6" s="12"/>
      <c r="I6" s="12"/>
      <c r="J6" s="49"/>
      <c r="K6" s="131"/>
      <c r="L6" s="131"/>
      <c r="M6" s="131"/>
      <c r="N6" s="141"/>
      <c r="O6" s="208"/>
      <c r="P6" s="215"/>
      <c r="Q6" s="267"/>
      <c r="R6" s="285"/>
      <c r="S6" s="285"/>
      <c r="T6" s="285"/>
      <c r="U6" s="285"/>
      <c r="V6" s="347">
        <v>34.71</v>
      </c>
      <c r="W6" s="285"/>
      <c r="X6" s="285"/>
      <c r="Y6" s="143"/>
      <c r="Z6" s="326"/>
      <c r="AA6" s="325"/>
      <c r="AB6" s="50"/>
    </row>
    <row r="7" spans="1:29" ht="21.75" customHeight="1">
      <c r="A7" s="48"/>
      <c r="B7" s="366" t="s">
        <v>292</v>
      </c>
      <c r="C7" s="366"/>
      <c r="D7" s="12"/>
      <c r="E7" s="12"/>
      <c r="F7" s="12"/>
      <c r="G7" s="12"/>
      <c r="H7" s="12"/>
      <c r="I7" s="12"/>
      <c r="J7" s="49"/>
      <c r="K7" s="131"/>
      <c r="L7" s="131"/>
      <c r="M7" s="131"/>
      <c r="N7" s="141"/>
      <c r="O7" s="208"/>
      <c r="P7" s="215"/>
      <c r="Q7" s="267"/>
      <c r="R7" s="285"/>
      <c r="S7" s="285"/>
      <c r="T7" s="285"/>
      <c r="U7" s="285"/>
      <c r="V7" s="347">
        <v>2549.9</v>
      </c>
      <c r="W7" s="285"/>
      <c r="X7" s="285"/>
      <c r="Y7" s="143"/>
      <c r="Z7" s="326"/>
      <c r="AA7" s="325"/>
      <c r="AB7" s="50"/>
    </row>
    <row r="8" spans="1:29" ht="21.75" customHeight="1">
      <c r="A8" s="399" t="s">
        <v>300</v>
      </c>
      <c r="B8" s="343" t="s">
        <v>301</v>
      </c>
      <c r="C8" s="343"/>
      <c r="D8" s="12"/>
      <c r="E8" s="12"/>
      <c r="F8" s="12"/>
      <c r="G8" s="12"/>
      <c r="H8" s="12"/>
      <c r="I8" s="12"/>
      <c r="J8" s="49"/>
      <c r="K8" s="131"/>
      <c r="L8" s="131"/>
      <c r="M8" s="131"/>
      <c r="N8" s="141"/>
      <c r="O8" s="208"/>
      <c r="P8" s="215"/>
      <c r="Q8" s="267"/>
      <c r="R8" s="285"/>
      <c r="S8" s="285"/>
      <c r="T8" s="285"/>
      <c r="U8" s="285">
        <v>510.43</v>
      </c>
      <c r="V8" s="347">
        <v>520.83000000000004</v>
      </c>
      <c r="W8" s="285"/>
      <c r="X8" s="285"/>
      <c r="Y8" s="346"/>
      <c r="Z8" s="345"/>
      <c r="AA8" s="344"/>
      <c r="AB8" s="50"/>
    </row>
    <row r="9" spans="1:29" ht="21.75" customHeight="1">
      <c r="A9" s="400"/>
      <c r="B9" s="343" t="s">
        <v>303</v>
      </c>
      <c r="C9" s="343"/>
      <c r="D9" s="12"/>
      <c r="E9" s="12"/>
      <c r="F9" s="12"/>
      <c r="G9" s="12"/>
      <c r="H9" s="12"/>
      <c r="I9" s="12"/>
      <c r="J9" s="49"/>
      <c r="K9" s="131"/>
      <c r="L9" s="131"/>
      <c r="M9" s="131"/>
      <c r="N9" s="141"/>
      <c r="O9" s="208"/>
      <c r="P9" s="215"/>
      <c r="Q9" s="267"/>
      <c r="R9" s="285"/>
      <c r="S9" s="285"/>
      <c r="T9" s="285"/>
      <c r="U9" s="285" t="s">
        <v>67</v>
      </c>
      <c r="V9" s="347">
        <v>1041.6600000000001</v>
      </c>
      <c r="W9" s="285"/>
      <c r="X9" s="285"/>
      <c r="Y9" s="346"/>
      <c r="Z9" s="345"/>
      <c r="AA9" s="344"/>
      <c r="AB9" s="50"/>
    </row>
    <row r="10" spans="1:29" ht="21.75" customHeight="1">
      <c r="A10" s="401"/>
      <c r="B10" s="343" t="s">
        <v>302</v>
      </c>
      <c r="C10" s="343"/>
      <c r="D10" s="12"/>
      <c r="E10" s="12"/>
      <c r="F10" s="12"/>
      <c r="G10" s="12"/>
      <c r="H10" s="12"/>
      <c r="I10" s="12"/>
      <c r="J10" s="49"/>
      <c r="K10" s="131"/>
      <c r="L10" s="131"/>
      <c r="M10" s="131"/>
      <c r="N10" s="141"/>
      <c r="O10" s="208"/>
      <c r="P10" s="215"/>
      <c r="Q10" s="267"/>
      <c r="R10" s="285"/>
      <c r="S10" s="285"/>
      <c r="T10" s="285"/>
      <c r="U10" s="285">
        <v>6130</v>
      </c>
      <c r="V10" s="347">
        <v>6250</v>
      </c>
      <c r="W10" s="285"/>
      <c r="X10" s="285"/>
      <c r="Y10" s="346"/>
      <c r="Z10" s="345"/>
      <c r="AA10" s="344"/>
      <c r="AB10" s="50"/>
    </row>
    <row r="11" spans="1:29" ht="40" customHeight="1">
      <c r="A11" s="375" t="s">
        <v>63</v>
      </c>
      <c r="B11" s="366" t="s">
        <v>64</v>
      </c>
      <c r="C11" s="366"/>
      <c r="D11" s="52" t="s">
        <v>65</v>
      </c>
      <c r="E11" s="52" t="s">
        <v>66</v>
      </c>
      <c r="F11" s="53" t="s">
        <v>43</v>
      </c>
      <c r="G11" s="53" t="s">
        <v>57</v>
      </c>
      <c r="H11" s="52" t="s">
        <v>73</v>
      </c>
      <c r="I11" s="54" t="s">
        <v>94</v>
      </c>
      <c r="J11" s="54" t="s">
        <v>96</v>
      </c>
      <c r="K11" s="133" t="s">
        <v>96</v>
      </c>
      <c r="L11" s="133" t="s">
        <v>121</v>
      </c>
      <c r="M11" s="133" t="str">
        <f>CONCATENATE(INDEX(Frais_parcours_fonctionnaires,'Chiffres utiles 2013-2019'!M$2-2000,2)," €/km (depuis le 01/07/",'Chiffres utiles 2013-2019'!L2,")")</f>
        <v>0,3412 €/km (depuis le 01/07/2015)</v>
      </c>
      <c r="N11" s="141" t="str">
        <f>CONCATENATE(INDEX(Frais_parcours_fonctionnaires,'Chiffres utiles 2013-2019'!M$2-1999,2)," €/km")</f>
        <v>0,3363 €/km</v>
      </c>
      <c r="O11" s="141" t="str">
        <f>CONCATENATE(INDEX(Frais_parcours_fonctionnaires,'Chiffres utiles 2013-2019'!N$2-1999,2)," €/km")</f>
        <v>0,3363 €/km</v>
      </c>
      <c r="P11" s="151" t="str">
        <f>CONCATENATE(INDEX(Frais_parcours_fonctionnaires,'Chiffres utiles 2013-2019'!O$2-1999,2)," €/km")</f>
        <v>0,346 €/km</v>
      </c>
      <c r="Q11" s="268" t="str">
        <f>CONCATENATE(INDEX(Frais_parcours_fonctionnaires,'Chiffres utiles 2013-2019'!O$2-1999,2)," €/km")</f>
        <v>0,346 €/km</v>
      </c>
      <c r="R11" s="302" t="s">
        <v>278</v>
      </c>
      <c r="S11" s="316" t="s">
        <v>286</v>
      </c>
      <c r="T11" s="327" t="s">
        <v>286</v>
      </c>
      <c r="U11" s="327"/>
      <c r="V11" s="355" t="s">
        <v>286</v>
      </c>
      <c r="W11" s="316" t="s">
        <v>304</v>
      </c>
      <c r="X11" s="286"/>
      <c r="Y11" s="143" t="s">
        <v>25</v>
      </c>
      <c r="Z11" s="37" t="s">
        <v>5</v>
      </c>
      <c r="AA11" s="64" t="s">
        <v>190</v>
      </c>
      <c r="AB11" s="56"/>
    </row>
    <row r="12" spans="1:29" ht="64" customHeight="1">
      <c r="A12" s="375"/>
      <c r="B12" s="406" t="s">
        <v>14</v>
      </c>
      <c r="C12" s="406"/>
      <c r="D12" s="52"/>
      <c r="E12" s="52"/>
      <c r="F12" s="53" t="s">
        <v>47</v>
      </c>
      <c r="G12" s="53" t="s">
        <v>39</v>
      </c>
      <c r="H12" s="53" t="s">
        <v>44</v>
      </c>
      <c r="I12" s="52" t="s">
        <v>81</v>
      </c>
      <c r="J12" s="52" t="s">
        <v>82</v>
      </c>
      <c r="K12" s="133" t="str">
        <f>CONCATENATE(INDEX(Frais_mission_329.02_auto,K$2-2007,2)," €/km")</f>
        <v>0,341 €/km</v>
      </c>
      <c r="L12" s="136" t="str">
        <f>CONCATENATE(INDEX(Frais_mission_329.02_auto,L$2-2007,2)," €/km")</f>
        <v>0,3406 €/km</v>
      </c>
      <c r="M12" s="203" t="str">
        <f>CONCATENATE(INDEX(Frais_mission_329.02_auto,M$2-2006,2)," €/km")</f>
        <v>0,3392 €/km</v>
      </c>
      <c r="N12" s="205" t="str">
        <f>CONCATENATE(INDEX(Frais_mission_329.02_auto,N$2-2006,2)," €/km")</f>
        <v>0,3392 €/km</v>
      </c>
      <c r="O12" s="209" t="str">
        <f>CONCATENATE(INDEX(Frais_mission_329.02_auto,O$2-2006,2)," €/km")</f>
        <v>0,343 €/km</v>
      </c>
      <c r="P12" s="205" t="s">
        <v>255</v>
      </c>
      <c r="Q12" s="269" t="s">
        <v>255</v>
      </c>
      <c r="R12" s="209" t="str">
        <f>CONCATENATE(INDEX(Frais_mission_329.02_auto,R$2-2006,2)," €/km")</f>
        <v>0,3491 €/km</v>
      </c>
      <c r="S12" s="287" t="s">
        <v>287</v>
      </c>
      <c r="T12" s="287" t="s">
        <v>287</v>
      </c>
      <c r="U12" s="287"/>
      <c r="V12" s="335" t="s">
        <v>295</v>
      </c>
      <c r="W12" s="287"/>
      <c r="X12" s="287"/>
      <c r="Y12" s="144" t="s">
        <v>42</v>
      </c>
      <c r="Z12" s="57" t="s">
        <v>4</v>
      </c>
      <c r="AA12" s="55" t="s">
        <v>134</v>
      </c>
      <c r="AB12" s="50"/>
    </row>
    <row r="13" spans="1:29" ht="65" customHeight="1">
      <c r="A13" s="51" t="s">
        <v>36</v>
      </c>
      <c r="B13" s="58" t="s">
        <v>59</v>
      </c>
      <c r="C13" s="59"/>
      <c r="D13" s="49"/>
      <c r="E13" s="49"/>
      <c r="F13" s="60">
        <v>0.15</v>
      </c>
      <c r="G13" s="61">
        <v>0.14979999999999999</v>
      </c>
      <c r="H13" s="61">
        <v>0.15409999999999999</v>
      </c>
      <c r="I13" s="52" t="s">
        <v>78</v>
      </c>
      <c r="J13" s="52" t="s">
        <v>83</v>
      </c>
      <c r="K13" s="133" t="str">
        <f>CONCATENATE(INDEX(Frais_mission_329.02_cyclo,K$2-2007,2)," €/km")</f>
        <v>0,165 €/km</v>
      </c>
      <c r="L13" s="136" t="str">
        <f>CONCATENATE(INDEX(Frais_mission_329.02_cyclo,L$2-2007,2)," €/km")</f>
        <v>0,1648 €/km</v>
      </c>
      <c r="M13" s="204" t="str">
        <f>CONCATENATE(INDEX(Frais_mission_329.02_cyclo,M$2-2006,2)," €/km")</f>
        <v>0,1641 €/km</v>
      </c>
      <c r="N13" s="206" t="str">
        <f>CONCATENATE(INDEX(Frais_mission_329.02_cyclo,N$2-2006,2)," €/km")</f>
        <v>0,1641 €/km</v>
      </c>
      <c r="O13" s="210" t="str">
        <f>CONCATENATE(INDEX(Frais_mission_329.02_cyclo,O$2-2006,2)," €/km")</f>
        <v>0,166 €/km</v>
      </c>
      <c r="P13" s="206" t="s">
        <v>256</v>
      </c>
      <c r="Q13" s="270" t="s">
        <v>256</v>
      </c>
      <c r="R13" s="303" t="str">
        <f>CONCATENATE(INDEX(Frais_mission_329.02_cyclo,R$2-2006,2)," €/km")</f>
        <v>0,1689 €/km</v>
      </c>
      <c r="S13" s="288" t="s">
        <v>288</v>
      </c>
      <c r="T13" s="288" t="s">
        <v>288</v>
      </c>
      <c r="U13" s="288"/>
      <c r="V13" s="303" t="s">
        <v>296</v>
      </c>
      <c r="W13" s="288"/>
      <c r="X13" s="288"/>
      <c r="Y13" s="144" t="s">
        <v>42</v>
      </c>
      <c r="Z13" s="57" t="s">
        <v>4</v>
      </c>
      <c r="AA13" s="58" t="s">
        <v>99</v>
      </c>
      <c r="AB13" s="50"/>
    </row>
    <row r="14" spans="1:29" ht="41.25" customHeight="1">
      <c r="A14" s="62" t="s">
        <v>52</v>
      </c>
      <c r="B14" s="366" t="s">
        <v>53</v>
      </c>
      <c r="C14" s="366"/>
      <c r="D14" s="12">
        <v>2050</v>
      </c>
      <c r="E14" s="12">
        <v>2100</v>
      </c>
      <c r="F14" s="63">
        <v>2500</v>
      </c>
      <c r="G14" s="63">
        <v>2601</v>
      </c>
      <c r="H14" s="63">
        <v>2653</v>
      </c>
      <c r="I14" s="63">
        <v>2706</v>
      </c>
      <c r="J14" s="63">
        <v>2760</v>
      </c>
      <c r="K14" s="133">
        <v>2760</v>
      </c>
      <c r="L14" s="133">
        <v>2760</v>
      </c>
      <c r="M14" s="133">
        <v>2760</v>
      </c>
      <c r="N14" s="136">
        <v>2760</v>
      </c>
      <c r="O14" s="211">
        <v>2815</v>
      </c>
      <c r="P14" s="256">
        <v>2815</v>
      </c>
      <c r="Q14" s="352">
        <v>2871</v>
      </c>
      <c r="R14" s="353">
        <v>2871</v>
      </c>
      <c r="S14" s="309"/>
      <c r="T14" s="351">
        <v>2928</v>
      </c>
      <c r="U14" s="309"/>
      <c r="V14" s="350">
        <v>2928</v>
      </c>
      <c r="W14" s="309"/>
      <c r="X14" s="309"/>
      <c r="Y14" s="143" t="s">
        <v>25</v>
      </c>
      <c r="Z14" s="38" t="s">
        <v>277</v>
      </c>
      <c r="AA14" s="64" t="s">
        <v>217</v>
      </c>
      <c r="AB14" s="64" t="s">
        <v>280</v>
      </c>
      <c r="AC14" s="35"/>
    </row>
    <row r="15" spans="1:29" s="5" customFormat="1" ht="80" customHeight="1">
      <c r="A15" s="407" t="s">
        <v>54</v>
      </c>
      <c r="B15" s="370" t="s">
        <v>0</v>
      </c>
      <c r="C15" s="58" t="s">
        <v>129</v>
      </c>
      <c r="D15" s="49">
        <v>26912</v>
      </c>
      <c r="E15" s="49">
        <v>27597</v>
      </c>
      <c r="F15" s="49">
        <v>29729</v>
      </c>
      <c r="G15" s="49">
        <v>30327</v>
      </c>
      <c r="H15" s="49">
        <v>30535</v>
      </c>
      <c r="I15" s="49">
        <v>31467</v>
      </c>
      <c r="J15" s="49">
        <v>32254</v>
      </c>
      <c r="K15" s="133">
        <v>32886</v>
      </c>
      <c r="L15" s="133">
        <v>33203</v>
      </c>
      <c r="M15" s="133">
        <v>33221</v>
      </c>
      <c r="N15" s="136">
        <v>33221</v>
      </c>
      <c r="O15" s="212">
        <v>33472</v>
      </c>
      <c r="P15" s="213">
        <v>33472</v>
      </c>
      <c r="Q15" s="271">
        <v>33472</v>
      </c>
      <c r="R15" s="307">
        <v>34180</v>
      </c>
      <c r="S15" s="289"/>
      <c r="T15" s="289"/>
      <c r="U15" s="289"/>
      <c r="V15" s="336">
        <v>34819</v>
      </c>
      <c r="W15" s="289"/>
      <c r="X15" s="289"/>
      <c r="Y15" s="145" t="s">
        <v>25</v>
      </c>
      <c r="Z15" s="57" t="s">
        <v>4</v>
      </c>
      <c r="AA15" s="393" t="s">
        <v>279</v>
      </c>
      <c r="AB15" s="202" t="s">
        <v>227</v>
      </c>
    </row>
    <row r="16" spans="1:29" s="5" customFormat="1" ht="101" hidden="1" customHeight="1">
      <c r="A16" s="407"/>
      <c r="B16" s="370"/>
      <c r="C16" s="59" t="s">
        <v>128</v>
      </c>
      <c r="D16" s="49">
        <v>32261</v>
      </c>
      <c r="E16" s="49">
        <v>33082</v>
      </c>
      <c r="F16" s="49">
        <v>35638</v>
      </c>
      <c r="G16" s="49">
        <v>36355</v>
      </c>
      <c r="H16" s="49">
        <v>36604</v>
      </c>
      <c r="I16" s="49">
        <v>37721</v>
      </c>
      <c r="J16" s="49">
        <v>38665</v>
      </c>
      <c r="K16" s="133">
        <v>39422</v>
      </c>
      <c r="L16" s="133" t="s">
        <v>67</v>
      </c>
      <c r="M16" s="133" t="s">
        <v>67</v>
      </c>
      <c r="N16" s="136" t="s">
        <v>67</v>
      </c>
      <c r="O16" s="213" t="s">
        <v>67</v>
      </c>
      <c r="P16" s="213" t="s">
        <v>67</v>
      </c>
      <c r="Q16" s="271" t="s">
        <v>67</v>
      </c>
      <c r="R16" s="307"/>
      <c r="S16" s="289"/>
      <c r="T16" s="289"/>
      <c r="U16" s="289"/>
      <c r="V16" s="336"/>
      <c r="W16" s="289"/>
      <c r="X16" s="289"/>
      <c r="Y16" s="145" t="s">
        <v>25</v>
      </c>
      <c r="Z16" s="57" t="s">
        <v>4</v>
      </c>
      <c r="AA16" s="393"/>
      <c r="AB16" s="67" t="s">
        <v>103</v>
      </c>
    </row>
    <row r="17" spans="1:29" s="5" customFormat="1" ht="74" customHeight="1">
      <c r="A17" s="407"/>
      <c r="B17" s="370"/>
      <c r="C17" s="59" t="s">
        <v>130</v>
      </c>
      <c r="D17" s="49">
        <v>53825</v>
      </c>
      <c r="E17" s="49">
        <v>55193</v>
      </c>
      <c r="F17" s="49">
        <v>59460</v>
      </c>
      <c r="G17" s="49">
        <v>60654</v>
      </c>
      <c r="H17" s="49">
        <v>61071</v>
      </c>
      <c r="I17" s="49">
        <v>62934</v>
      </c>
      <c r="J17" s="49">
        <v>64508</v>
      </c>
      <c r="K17" s="133">
        <v>65771</v>
      </c>
      <c r="L17" s="133">
        <v>66406</v>
      </c>
      <c r="M17" s="133">
        <v>66441</v>
      </c>
      <c r="N17" s="136">
        <v>66441</v>
      </c>
      <c r="O17" s="212">
        <v>66944</v>
      </c>
      <c r="P17" s="213">
        <v>66944</v>
      </c>
      <c r="Q17" s="271">
        <v>66944</v>
      </c>
      <c r="R17" s="307">
        <v>68361</v>
      </c>
      <c r="S17" s="289"/>
      <c r="T17" s="289"/>
      <c r="U17" s="289"/>
      <c r="V17" s="336">
        <v>69639</v>
      </c>
      <c r="W17" s="289"/>
      <c r="X17" s="289"/>
      <c r="Y17" s="145" t="s">
        <v>25</v>
      </c>
      <c r="Z17" s="57" t="s">
        <v>4</v>
      </c>
      <c r="AA17" s="393"/>
      <c r="AB17" s="68"/>
      <c r="AC17"/>
    </row>
    <row r="18" spans="1:29" s="5" customFormat="1" ht="26" hidden="1" customHeight="1">
      <c r="A18" s="372" t="s">
        <v>33</v>
      </c>
      <c r="B18" s="376">
        <v>1</v>
      </c>
      <c r="C18" s="376"/>
      <c r="D18" s="49">
        <v>1234.2</v>
      </c>
      <c r="E18" s="49">
        <v>1258.9100000000001</v>
      </c>
      <c r="F18" s="69"/>
      <c r="G18" s="49">
        <v>1415.24</v>
      </c>
      <c r="H18" s="49">
        <v>1443.54</v>
      </c>
      <c r="I18" s="49">
        <v>1472.4</v>
      </c>
      <c r="J18" s="49">
        <v>1501.82</v>
      </c>
      <c r="K18" s="131">
        <v>1501.82</v>
      </c>
      <c r="L18" s="262" t="s">
        <v>275</v>
      </c>
      <c r="M18" s="262" t="s">
        <v>275</v>
      </c>
      <c r="N18" s="262" t="s">
        <v>275</v>
      </c>
      <c r="O18" s="262" t="s">
        <v>275</v>
      </c>
      <c r="P18" s="265" t="s">
        <v>275</v>
      </c>
      <c r="Q18" s="272" t="s">
        <v>275</v>
      </c>
      <c r="R18" s="290"/>
      <c r="S18" s="290"/>
      <c r="T18" s="290"/>
      <c r="U18" s="290"/>
      <c r="V18" s="290"/>
      <c r="W18" s="290"/>
      <c r="X18" s="290"/>
      <c r="Y18" s="403" t="s">
        <v>10</v>
      </c>
      <c r="Z18" s="388" t="s">
        <v>274</v>
      </c>
      <c r="AA18" s="396" t="s">
        <v>85</v>
      </c>
      <c r="AB18" s="68"/>
      <c r="AC18" s="43"/>
    </row>
    <row r="19" spans="1:29" s="5" customFormat="1" ht="26" hidden="1" customHeight="1">
      <c r="A19" s="373"/>
      <c r="B19" s="370" t="s">
        <v>34</v>
      </c>
      <c r="C19" s="370"/>
      <c r="D19" s="49">
        <v>1268.23</v>
      </c>
      <c r="E19" s="49">
        <v>1293.6099999999999</v>
      </c>
      <c r="F19" s="69"/>
      <c r="G19" s="49">
        <v>1452.8</v>
      </c>
      <c r="H19" s="49">
        <v>1481.86</v>
      </c>
      <c r="I19" s="49">
        <v>1511.48</v>
      </c>
      <c r="J19" s="49">
        <v>1541.67</v>
      </c>
      <c r="K19" s="131">
        <v>1541.67</v>
      </c>
      <c r="L19" s="262" t="s">
        <v>275</v>
      </c>
      <c r="M19" s="262" t="s">
        <v>275</v>
      </c>
      <c r="N19" s="262" t="s">
        <v>275</v>
      </c>
      <c r="O19" s="262" t="s">
        <v>275</v>
      </c>
      <c r="P19" s="265" t="s">
        <v>275</v>
      </c>
      <c r="Q19" s="272" t="s">
        <v>275</v>
      </c>
      <c r="R19" s="291"/>
      <c r="S19" s="291"/>
      <c r="T19" s="291"/>
      <c r="U19" s="291"/>
      <c r="V19" s="291"/>
      <c r="W19" s="291"/>
      <c r="X19" s="291"/>
      <c r="Y19" s="404"/>
      <c r="Z19" s="389"/>
      <c r="AA19" s="397"/>
      <c r="AB19" s="70"/>
      <c r="AC19" s="44"/>
    </row>
    <row r="20" spans="1:29" s="5" customFormat="1" ht="26" hidden="1" customHeight="1">
      <c r="A20" s="373"/>
      <c r="B20" s="370" t="s">
        <v>35</v>
      </c>
      <c r="C20" s="370"/>
      <c r="D20" s="49">
        <v>1283.3399999999999</v>
      </c>
      <c r="E20" s="49">
        <v>1309.03</v>
      </c>
      <c r="F20" s="69"/>
      <c r="G20" s="49">
        <v>1469.48</v>
      </c>
      <c r="H20" s="49">
        <v>1498.87</v>
      </c>
      <c r="I20" s="49">
        <v>1528.84</v>
      </c>
      <c r="J20" s="49">
        <v>1599.38</v>
      </c>
      <c r="K20" s="131">
        <v>1599.38</v>
      </c>
      <c r="L20" s="262" t="s">
        <v>275</v>
      </c>
      <c r="M20" s="262" t="s">
        <v>275</v>
      </c>
      <c r="N20" s="262" t="s">
        <v>275</v>
      </c>
      <c r="O20" s="262" t="s">
        <v>275</v>
      </c>
      <c r="P20" s="265" t="s">
        <v>275</v>
      </c>
      <c r="Q20" s="272" t="s">
        <v>275</v>
      </c>
      <c r="R20" s="291"/>
      <c r="S20" s="291"/>
      <c r="T20" s="291"/>
      <c r="U20" s="291"/>
      <c r="V20" s="291"/>
      <c r="W20" s="291"/>
      <c r="X20" s="291"/>
      <c r="Y20" s="404"/>
      <c r="Z20" s="389"/>
      <c r="AA20" s="397"/>
      <c r="AB20" s="68"/>
      <c r="AC20" s="44"/>
    </row>
    <row r="21" spans="1:29" s="5" customFormat="1" ht="26" customHeight="1">
      <c r="A21" s="373"/>
      <c r="B21" s="370" t="s">
        <v>179</v>
      </c>
      <c r="C21" s="371"/>
      <c r="D21" s="49"/>
      <c r="E21" s="49"/>
      <c r="F21" s="69"/>
      <c r="G21" s="49"/>
      <c r="H21" s="49"/>
      <c r="I21" s="49"/>
      <c r="J21" s="49"/>
      <c r="K21" s="131"/>
      <c r="L21" s="131"/>
      <c r="M21" s="131">
        <v>1531.93</v>
      </c>
      <c r="N21" s="141">
        <v>1531.93</v>
      </c>
      <c r="O21" s="215">
        <v>1531.93</v>
      </c>
      <c r="P21" s="208">
        <v>1562.59</v>
      </c>
      <c r="Q21" s="267">
        <v>1562.59</v>
      </c>
      <c r="R21" s="267">
        <v>1562.59</v>
      </c>
      <c r="S21" s="267">
        <v>1562.59</v>
      </c>
      <c r="T21" s="310">
        <v>1593.81</v>
      </c>
      <c r="U21" s="310"/>
      <c r="V21" s="284">
        <v>1593.81</v>
      </c>
      <c r="W21" s="334"/>
      <c r="X21" s="310"/>
      <c r="Y21" s="404"/>
      <c r="Z21" s="389"/>
      <c r="AA21" s="397"/>
      <c r="AB21" s="68"/>
      <c r="AC21" s="44"/>
    </row>
    <row r="22" spans="1:29" s="5" customFormat="1" ht="26" customHeight="1">
      <c r="A22" s="373"/>
      <c r="B22" s="370" t="s">
        <v>180</v>
      </c>
      <c r="C22" s="370"/>
      <c r="D22" s="49"/>
      <c r="E22" s="49"/>
      <c r="F22" s="69"/>
      <c r="G22" s="49"/>
      <c r="H22" s="49"/>
      <c r="I22" s="49"/>
      <c r="J22" s="49"/>
      <c r="K22" s="131"/>
      <c r="L22" s="131"/>
      <c r="M22" s="131">
        <v>1572.58</v>
      </c>
      <c r="N22" s="141">
        <v>1572.58</v>
      </c>
      <c r="O22" s="215">
        <v>1572.58</v>
      </c>
      <c r="P22" s="208">
        <v>1604.06</v>
      </c>
      <c r="Q22" s="267">
        <v>1604.06</v>
      </c>
      <c r="R22" s="267">
        <v>1604.06</v>
      </c>
      <c r="S22" s="267">
        <v>1604.06</v>
      </c>
      <c r="T22" s="310">
        <v>1636.1</v>
      </c>
      <c r="U22" s="310"/>
      <c r="V22" s="284">
        <v>1636.1</v>
      </c>
      <c r="W22" s="284"/>
      <c r="X22" s="310"/>
      <c r="Y22" s="404"/>
      <c r="Z22" s="389"/>
      <c r="AA22" s="397"/>
      <c r="AB22" s="68"/>
      <c r="AC22" s="44"/>
    </row>
    <row r="23" spans="1:29" s="5" customFormat="1" ht="26" customHeight="1">
      <c r="A23" s="374"/>
      <c r="B23" s="370" t="s">
        <v>181</v>
      </c>
      <c r="C23" s="370"/>
      <c r="D23" s="49"/>
      <c r="E23" s="49"/>
      <c r="F23" s="69"/>
      <c r="G23" s="49"/>
      <c r="H23" s="49"/>
      <c r="I23" s="49"/>
      <c r="J23" s="49"/>
      <c r="K23" s="131"/>
      <c r="L23" s="131"/>
      <c r="M23" s="131">
        <v>1590.64</v>
      </c>
      <c r="N23" s="141">
        <v>1590.64</v>
      </c>
      <c r="O23" s="215">
        <v>1590.64</v>
      </c>
      <c r="P23" s="208">
        <v>1622.48</v>
      </c>
      <c r="Q23" s="267">
        <v>1622.48</v>
      </c>
      <c r="R23" s="267">
        <v>1622.48</v>
      </c>
      <c r="S23" s="267">
        <v>1622.48</v>
      </c>
      <c r="T23" s="317">
        <v>1654.9</v>
      </c>
      <c r="U23" s="317"/>
      <c r="V23" s="328">
        <v>1654.9</v>
      </c>
      <c r="W23" s="328"/>
      <c r="X23" s="317"/>
      <c r="Y23" s="405"/>
      <c r="Z23" s="390"/>
      <c r="AA23" s="398"/>
      <c r="AB23" s="68"/>
      <c r="AC23" s="44"/>
    </row>
    <row r="24" spans="1:29" ht="68" customHeight="1">
      <c r="A24" s="375" t="s">
        <v>46</v>
      </c>
      <c r="B24" s="367" t="s">
        <v>45</v>
      </c>
      <c r="C24" s="366"/>
      <c r="D24" s="12" t="s">
        <v>9</v>
      </c>
      <c r="E24" s="71" t="s">
        <v>15</v>
      </c>
      <c r="F24" s="60"/>
      <c r="G24" s="49" t="s">
        <v>90</v>
      </c>
      <c r="H24" s="49" t="s">
        <v>89</v>
      </c>
      <c r="I24" s="60" t="s">
        <v>80</v>
      </c>
      <c r="J24" s="152">
        <f>INDEX(Plafond_dom_trav_329.03,$M$2-2000,3)</f>
        <v>40836.550000000003</v>
      </c>
      <c r="K24" s="131">
        <f>INDEX(Plafond_dom_trav_329.03,$M$2-2000,3)</f>
        <v>40836.550000000003</v>
      </c>
      <c r="L24" s="131">
        <f>INDEX(Plafond_dom_trav_329.03,$M$2-2000,3)</f>
        <v>40836.550000000003</v>
      </c>
      <c r="M24" s="131">
        <f>INDEX(Plafond_dom_trav_329.03,$M$2-2000,3)</f>
        <v>40836.550000000003</v>
      </c>
      <c r="N24" s="151">
        <f>INDEX(Plafond_dom_trav_329.03,N$2-1999,3)</f>
        <v>41653.279999999999</v>
      </c>
      <c r="O24" s="215">
        <f>INDEX(Plafond_dom_trav_329.03,O$2-2000,3)</f>
        <v>41653.279999999999</v>
      </c>
      <c r="P24" s="208">
        <f>'Plafond déplacemt dom-trav .03'!C25</f>
        <v>42486.35</v>
      </c>
      <c r="Q24" s="267">
        <f>'Plafond déplacemt dom-trav .03'!C25</f>
        <v>42486.35</v>
      </c>
      <c r="R24" s="267">
        <f>'Plafond déplacemt dom-trav .03'!C25</f>
        <v>42486.35</v>
      </c>
      <c r="S24" s="285"/>
      <c r="T24" s="338">
        <f>'Plafond déplacemt dom-trav .03'!C26</f>
        <v>43336.08</v>
      </c>
      <c r="U24" s="311"/>
      <c r="V24" s="285">
        <v>43336.08</v>
      </c>
      <c r="W24" s="285"/>
      <c r="X24" s="311"/>
      <c r="Y24" s="145" t="s">
        <v>10</v>
      </c>
      <c r="Z24" s="65" t="s">
        <v>236</v>
      </c>
      <c r="AA24" s="64" t="s">
        <v>104</v>
      </c>
      <c r="AB24" s="50"/>
    </row>
    <row r="25" spans="1:29" ht="32" customHeight="1">
      <c r="A25" s="375"/>
      <c r="B25" s="370" t="s">
        <v>41</v>
      </c>
      <c r="C25" s="370"/>
      <c r="D25" s="49" t="s">
        <v>67</v>
      </c>
      <c r="E25" s="49" t="s">
        <v>67</v>
      </c>
      <c r="F25" s="60"/>
      <c r="G25" s="60"/>
      <c r="H25" s="60"/>
      <c r="I25" s="60"/>
      <c r="J25" s="60"/>
      <c r="K25" s="131"/>
      <c r="L25" s="131"/>
      <c r="M25" s="131"/>
      <c r="N25" s="141"/>
      <c r="O25" s="216"/>
      <c r="P25" s="216"/>
      <c r="Q25" s="273"/>
      <c r="R25" s="292"/>
      <c r="S25" s="292"/>
      <c r="T25" s="292"/>
      <c r="U25" s="292"/>
      <c r="V25" s="292"/>
      <c r="W25" s="292"/>
      <c r="X25" s="292"/>
      <c r="Y25" s="145" t="s">
        <v>25</v>
      </c>
      <c r="Z25" s="57" t="s">
        <v>6</v>
      </c>
      <c r="AA25" s="64" t="s">
        <v>104</v>
      </c>
      <c r="AB25" s="50"/>
    </row>
    <row r="26" spans="1:29" ht="65" customHeight="1">
      <c r="A26" s="51" t="s">
        <v>26</v>
      </c>
      <c r="B26" s="58" t="s">
        <v>60</v>
      </c>
      <c r="C26" s="59"/>
      <c r="D26" s="49"/>
      <c r="E26" s="49"/>
      <c r="F26" s="60">
        <v>0.15</v>
      </c>
      <c r="G26" s="60">
        <v>0.2</v>
      </c>
      <c r="H26" s="49">
        <v>0.21</v>
      </c>
      <c r="I26" s="49">
        <v>0.21</v>
      </c>
      <c r="J26" s="49">
        <v>0.22</v>
      </c>
      <c r="K26" s="131">
        <v>0.22</v>
      </c>
      <c r="L26" s="131">
        <v>0.22</v>
      </c>
      <c r="M26" s="137">
        <v>0.22</v>
      </c>
      <c r="N26" s="141">
        <v>0.22</v>
      </c>
      <c r="O26" s="151">
        <v>0.23</v>
      </c>
      <c r="P26" s="141">
        <v>0.23</v>
      </c>
      <c r="Q26" s="274">
        <v>0.23</v>
      </c>
      <c r="R26" s="274">
        <v>0.23</v>
      </c>
      <c r="S26" s="274">
        <v>0.23</v>
      </c>
      <c r="T26" s="274">
        <v>0.23</v>
      </c>
      <c r="U26" s="274"/>
      <c r="V26" s="349">
        <v>0.24</v>
      </c>
      <c r="W26" s="293"/>
      <c r="X26" s="293"/>
      <c r="Y26" s="146" t="s">
        <v>37</v>
      </c>
      <c r="Z26" s="57" t="s">
        <v>237</v>
      </c>
      <c r="AA26" s="64" t="s">
        <v>221</v>
      </c>
      <c r="AB26" s="64" t="s">
        <v>254</v>
      </c>
    </row>
    <row r="27" spans="1:29" ht="54.75" customHeight="1">
      <c r="A27" s="51" t="s">
        <v>189</v>
      </c>
      <c r="B27" s="366" t="s">
        <v>27</v>
      </c>
      <c r="C27" s="366"/>
      <c r="D27" s="12" t="s">
        <v>28</v>
      </c>
      <c r="E27" s="12" t="s">
        <v>29</v>
      </c>
      <c r="F27" s="72"/>
      <c r="G27" s="72" t="s">
        <v>58</v>
      </c>
      <c r="H27" s="72" t="s">
        <v>74</v>
      </c>
      <c r="I27" s="72" t="s">
        <v>79</v>
      </c>
      <c r="J27" s="73" t="s">
        <v>84</v>
      </c>
      <c r="K27" s="134" t="s">
        <v>120</v>
      </c>
      <c r="L27" s="135"/>
      <c r="M27" s="139"/>
      <c r="N27" s="246" t="s">
        <v>132</v>
      </c>
      <c r="O27" s="247" t="s">
        <v>182</v>
      </c>
      <c r="P27" s="257" t="s">
        <v>270</v>
      </c>
      <c r="Q27" s="275" t="s">
        <v>276</v>
      </c>
      <c r="R27" s="275" t="s">
        <v>276</v>
      </c>
      <c r="S27" s="294"/>
      <c r="T27" s="257" t="s">
        <v>290</v>
      </c>
      <c r="U27" s="294"/>
      <c r="V27" s="294"/>
      <c r="W27" s="294"/>
      <c r="X27" s="257"/>
      <c r="Y27" s="144" t="s">
        <v>238</v>
      </c>
      <c r="Z27" s="3" t="s">
        <v>236</v>
      </c>
      <c r="AA27" s="64" t="s">
        <v>220</v>
      </c>
      <c r="AB27" s="64" t="s">
        <v>226</v>
      </c>
    </row>
    <row r="28" spans="1:29" ht="54.75" customHeight="1">
      <c r="A28" s="51" t="s">
        <v>61</v>
      </c>
      <c r="B28" s="47"/>
      <c r="C28" s="47"/>
      <c r="D28" s="12"/>
      <c r="E28" s="12"/>
      <c r="F28" s="6" t="s">
        <v>38</v>
      </c>
      <c r="G28" s="60" t="s">
        <v>97</v>
      </c>
      <c r="H28" s="6" t="s">
        <v>98</v>
      </c>
      <c r="I28" s="160">
        <f>INDEX(RMMMG_329.03,I2-2008,4)</f>
        <v>1563.8</v>
      </c>
      <c r="J28" s="160">
        <f>INDEX(RMMMG_329.03,J2-2008,4)</f>
        <v>1595.08</v>
      </c>
      <c r="K28" s="159">
        <f>INDEX(RMMMG_329.03,K2-2008,4)</f>
        <v>1595.08</v>
      </c>
      <c r="L28" s="159">
        <f>INDEX(RMMMG_329.03,L2-2008,4)</f>
        <v>1595.08</v>
      </c>
      <c r="M28" s="245">
        <f>INDEX(RMMMG_329.03,M2-2008,4)</f>
        <v>1595.08</v>
      </c>
      <c r="N28" s="250">
        <f>INDEX(RMMMG_329.03,N2-2007,4)</f>
        <v>1626.98</v>
      </c>
      <c r="O28" s="308">
        <f>INDEX(RMMMG_329.03,O2-2008,4)</f>
        <v>1626.98</v>
      </c>
      <c r="P28" s="219">
        <f>'RMMG SCP 329.03'!D15</f>
        <v>1659.52</v>
      </c>
      <c r="Q28" s="276">
        <f>'RMMG SCP 329.03'!D15</f>
        <v>1659.52</v>
      </c>
      <c r="R28" s="276">
        <f>'RMMG SCP 329.03'!D15</f>
        <v>1659.52</v>
      </c>
      <c r="S28" s="295"/>
      <c r="T28" s="339">
        <f>'RMMG SCP 329.03'!D16</f>
        <v>1692.71</v>
      </c>
      <c r="U28" s="313"/>
      <c r="V28" s="295">
        <v>1692.71</v>
      </c>
      <c r="W28" s="295"/>
      <c r="X28" s="313">
        <f>'RMMG SCP 329.03'!G16</f>
        <v>0</v>
      </c>
      <c r="Y28" s="161" t="s">
        <v>238</v>
      </c>
      <c r="Z28" s="37" t="s">
        <v>236</v>
      </c>
      <c r="AA28" s="64" t="s">
        <v>222</v>
      </c>
      <c r="AB28" s="50"/>
    </row>
    <row r="29" spans="1:29" s="5" customFormat="1" ht="141" customHeight="1">
      <c r="A29" s="62" t="s">
        <v>30</v>
      </c>
      <c r="B29" s="370" t="s">
        <v>31</v>
      </c>
      <c r="C29" s="370"/>
      <c r="D29" s="49">
        <v>2586.9</v>
      </c>
      <c r="E29" s="49">
        <v>2643.81</v>
      </c>
      <c r="F29" s="49">
        <v>2813.29</v>
      </c>
      <c r="G29" s="49">
        <v>2813.29</v>
      </c>
      <c r="H29" s="49">
        <v>2866.74</v>
      </c>
      <c r="I29" s="49">
        <v>2924.07</v>
      </c>
      <c r="J29" s="49">
        <v>2970.86</v>
      </c>
      <c r="K29" s="132">
        <v>3000.77</v>
      </c>
      <c r="L29" s="132">
        <v>2988.77</v>
      </c>
      <c r="M29" s="138">
        <v>3024.64</v>
      </c>
      <c r="N29" s="248">
        <v>3024.64</v>
      </c>
      <c r="O29" s="249">
        <v>3066.98</v>
      </c>
      <c r="P29" s="258">
        <v>3066.98</v>
      </c>
      <c r="Q29" s="277">
        <v>3066.98</v>
      </c>
      <c r="R29" s="296">
        <v>3093.7</v>
      </c>
      <c r="S29" s="296"/>
      <c r="T29" s="296"/>
      <c r="U29" s="296"/>
      <c r="V29" s="297">
        <v>3114.85</v>
      </c>
      <c r="W29" s="296"/>
      <c r="X29" s="296"/>
      <c r="Y29" s="145" t="s">
        <v>25</v>
      </c>
      <c r="Z29" s="57" t="s">
        <v>4</v>
      </c>
      <c r="AA29" s="74" t="s">
        <v>114</v>
      </c>
      <c r="AB29" s="66" t="s">
        <v>225</v>
      </c>
      <c r="AC29" s="14" t="s">
        <v>100</v>
      </c>
    </row>
    <row r="30" spans="1:29" s="5" customFormat="1" ht="104" customHeight="1">
      <c r="A30" s="90" t="s">
        <v>206</v>
      </c>
      <c r="B30" s="361" t="s">
        <v>31</v>
      </c>
      <c r="C30" s="362"/>
      <c r="D30" s="49" t="s">
        <v>67</v>
      </c>
      <c r="E30" s="49" t="s">
        <v>67</v>
      </c>
      <c r="F30" s="49">
        <v>3001.19</v>
      </c>
      <c r="G30" s="49">
        <v>3001.19</v>
      </c>
      <c r="H30" s="49">
        <v>3073.22</v>
      </c>
      <c r="I30" s="49">
        <v>3137.76</v>
      </c>
      <c r="J30" s="49">
        <v>3173.76</v>
      </c>
      <c r="K30" s="132">
        <v>3156.59</v>
      </c>
      <c r="L30" s="132">
        <v>3172.38</v>
      </c>
      <c r="M30" s="138">
        <v>3223.14</v>
      </c>
      <c r="N30" s="142">
        <v>3223.14</v>
      </c>
      <c r="O30" s="341">
        <v>3268.27</v>
      </c>
      <c r="P30" s="342">
        <v>3268.27</v>
      </c>
      <c r="Q30" s="277">
        <v>3284.3796600000001</v>
      </c>
      <c r="R30" s="311">
        <v>3320.51</v>
      </c>
      <c r="S30" s="297"/>
      <c r="T30" s="297"/>
      <c r="U30" s="297"/>
      <c r="V30" s="311">
        <v>3397</v>
      </c>
      <c r="W30" s="297"/>
      <c r="X30" s="297"/>
      <c r="Y30" s="145" t="s">
        <v>25</v>
      </c>
      <c r="Z30" s="57" t="s">
        <v>207</v>
      </c>
      <c r="AA30" s="74" t="s">
        <v>208</v>
      </c>
      <c r="AB30" s="66" t="s">
        <v>228</v>
      </c>
      <c r="AC30" s="14"/>
    </row>
    <row r="31" spans="1:29" s="5" customFormat="1" ht="33" customHeight="1">
      <c r="A31" s="90" t="s">
        <v>32</v>
      </c>
      <c r="B31" s="370" t="s">
        <v>107</v>
      </c>
      <c r="C31" s="370"/>
      <c r="D31" s="54">
        <v>306.14330000000001</v>
      </c>
      <c r="E31" s="54">
        <v>311.95999999999998</v>
      </c>
      <c r="F31" s="369" t="s">
        <v>68</v>
      </c>
      <c r="G31" s="369"/>
      <c r="H31" s="75"/>
      <c r="I31" s="75"/>
      <c r="J31" s="75"/>
      <c r="K31" s="131"/>
      <c r="L31" s="131"/>
      <c r="M31" s="131" t="s">
        <v>133</v>
      </c>
      <c r="N31" s="141"/>
      <c r="O31" s="218"/>
      <c r="P31" s="218"/>
      <c r="Q31" s="278"/>
      <c r="R31" s="298"/>
      <c r="S31" s="298"/>
      <c r="T31" s="298"/>
      <c r="U31" s="298"/>
      <c r="V31" s="298"/>
      <c r="W31" s="298"/>
      <c r="X31" s="298"/>
      <c r="Y31" s="145" t="s">
        <v>25</v>
      </c>
      <c r="Z31" s="65" t="s">
        <v>18</v>
      </c>
      <c r="AA31" s="66" t="s">
        <v>223</v>
      </c>
      <c r="AB31" s="68"/>
    </row>
    <row r="32" spans="1:29" s="5" customFormat="1" ht="125" hidden="1" customHeight="1">
      <c r="A32" s="91"/>
      <c r="B32" s="76" t="s">
        <v>105</v>
      </c>
      <c r="C32" s="59" t="s">
        <v>106</v>
      </c>
      <c r="D32" s="54"/>
      <c r="E32" s="54"/>
      <c r="F32" s="77"/>
      <c r="G32" s="77"/>
      <c r="H32" s="75"/>
      <c r="I32" s="75"/>
      <c r="J32" s="78" t="s">
        <v>108</v>
      </c>
      <c r="K32" s="131"/>
      <c r="L32" s="131"/>
      <c r="M32" s="131"/>
      <c r="N32" s="141"/>
      <c r="O32" s="214"/>
      <c r="P32" s="214"/>
      <c r="Q32" s="279"/>
      <c r="R32" s="299"/>
      <c r="S32" s="299"/>
      <c r="T32" s="299"/>
      <c r="U32" s="299"/>
      <c r="V32" s="299"/>
      <c r="W32" s="299"/>
      <c r="X32" s="299"/>
      <c r="Y32" s="145"/>
      <c r="Z32" s="65"/>
      <c r="AA32" s="68"/>
      <c r="AB32" s="68"/>
    </row>
    <row r="33" spans="1:28" s="5" customFormat="1" ht="80" hidden="1" customHeight="1">
      <c r="A33" s="91"/>
      <c r="B33" s="76" t="s">
        <v>109</v>
      </c>
      <c r="C33" s="76" t="s">
        <v>110</v>
      </c>
      <c r="D33" s="54"/>
      <c r="E33" s="54"/>
      <c r="F33" s="77"/>
      <c r="G33" s="77"/>
      <c r="H33" s="75"/>
      <c r="I33" s="75"/>
      <c r="J33" s="77" t="s">
        <v>111</v>
      </c>
      <c r="K33" s="131"/>
      <c r="L33" s="131"/>
      <c r="M33" s="131"/>
      <c r="N33" s="141"/>
      <c r="O33" s="214"/>
      <c r="P33" s="214"/>
      <c r="Q33" s="279"/>
      <c r="R33" s="299"/>
      <c r="S33" s="299"/>
      <c r="T33" s="299"/>
      <c r="U33" s="299"/>
      <c r="V33" s="299"/>
      <c r="W33" s="299"/>
      <c r="X33" s="299"/>
      <c r="Y33" s="145"/>
      <c r="Z33" s="65"/>
      <c r="AA33" s="68"/>
      <c r="AB33" s="68"/>
    </row>
    <row r="34" spans="1:28" s="5" customFormat="1" ht="61" hidden="1" customHeight="1">
      <c r="A34" s="91"/>
      <c r="B34" s="76" t="s">
        <v>112</v>
      </c>
      <c r="C34" s="59"/>
      <c r="D34" s="54"/>
      <c r="E34" s="54"/>
      <c r="F34" s="77"/>
      <c r="G34" s="77"/>
      <c r="H34" s="75"/>
      <c r="I34" s="75"/>
      <c r="J34" s="79">
        <v>100.17</v>
      </c>
      <c r="K34" s="131"/>
      <c r="L34" s="131"/>
      <c r="M34" s="131"/>
      <c r="N34" s="141"/>
      <c r="O34" s="214"/>
      <c r="P34" s="214"/>
      <c r="Q34" s="279"/>
      <c r="R34" s="299"/>
      <c r="S34" s="299"/>
      <c r="T34" s="299"/>
      <c r="U34" s="299"/>
      <c r="V34" s="299"/>
      <c r="W34" s="299"/>
      <c r="X34" s="299"/>
      <c r="Y34" s="145"/>
      <c r="Z34" s="65"/>
      <c r="AA34" s="68"/>
      <c r="AB34" s="68"/>
    </row>
    <row r="35" spans="1:28" s="5" customFormat="1" ht="33" hidden="1" customHeight="1">
      <c r="A35" s="92"/>
      <c r="B35" s="59" t="s">
        <v>113</v>
      </c>
      <c r="C35" s="59"/>
      <c r="D35" s="54"/>
      <c r="E35" s="54"/>
      <c r="F35" s="369"/>
      <c r="G35" s="369"/>
      <c r="H35" s="75"/>
      <c r="I35" s="75"/>
      <c r="J35" s="75"/>
      <c r="K35" s="131"/>
      <c r="L35" s="131"/>
      <c r="M35" s="131"/>
      <c r="N35" s="141"/>
      <c r="O35" s="218"/>
      <c r="P35" s="218"/>
      <c r="Q35" s="278"/>
      <c r="R35" s="298"/>
      <c r="S35" s="298"/>
      <c r="T35" s="298"/>
      <c r="U35" s="298"/>
      <c r="V35" s="298"/>
      <c r="W35" s="298"/>
      <c r="X35" s="298"/>
      <c r="Y35" s="145"/>
      <c r="Z35" s="65"/>
      <c r="AA35" s="68"/>
      <c r="AB35" s="68"/>
    </row>
    <row r="36" spans="1:28" s="5" customFormat="1" ht="75" customHeight="1">
      <c r="A36" s="62" t="s">
        <v>19</v>
      </c>
      <c r="B36" s="371" t="s">
        <v>62</v>
      </c>
      <c r="C36" s="370"/>
      <c r="D36" s="80">
        <v>7858</v>
      </c>
      <c r="E36" s="80">
        <v>8015</v>
      </c>
      <c r="F36" s="81">
        <v>8675</v>
      </c>
      <c r="G36" s="81">
        <v>8675</v>
      </c>
      <c r="H36" s="81">
        <v>8850</v>
      </c>
      <c r="I36" s="81">
        <v>9027</v>
      </c>
      <c r="J36" s="81">
        <v>9027</v>
      </c>
      <c r="K36" s="133">
        <v>9208</v>
      </c>
      <c r="L36" s="133">
        <v>9600</v>
      </c>
      <c r="M36" s="133">
        <v>9600</v>
      </c>
      <c r="N36" s="136">
        <v>9800</v>
      </c>
      <c r="O36" s="242">
        <v>9800</v>
      </c>
      <c r="P36" s="259">
        <v>10200</v>
      </c>
      <c r="Q36" s="280">
        <v>10200</v>
      </c>
      <c r="R36" s="280">
        <v>10200</v>
      </c>
      <c r="S36" s="300"/>
      <c r="T36" s="300"/>
      <c r="U36" s="300"/>
      <c r="V36" s="300">
        <v>10200</v>
      </c>
      <c r="W36" s="354">
        <v>10612</v>
      </c>
      <c r="X36" s="300"/>
      <c r="Y36" s="145" t="s">
        <v>25</v>
      </c>
      <c r="Z36" s="82" t="s">
        <v>239</v>
      </c>
      <c r="AA36" s="66" t="s">
        <v>224</v>
      </c>
      <c r="AB36" s="232" t="s">
        <v>268</v>
      </c>
    </row>
    <row r="37" spans="1:28" ht="106" customHeight="1">
      <c r="A37" s="368" t="s">
        <v>20</v>
      </c>
      <c r="B37" s="366" t="s">
        <v>231</v>
      </c>
      <c r="C37" s="366"/>
      <c r="D37" s="6">
        <v>101.43</v>
      </c>
      <c r="E37" s="6">
        <v>103.72</v>
      </c>
      <c r="F37" s="6">
        <v>112.44</v>
      </c>
      <c r="G37" s="6">
        <v>111.74</v>
      </c>
      <c r="H37" s="12">
        <v>114.6</v>
      </c>
      <c r="I37" s="12">
        <v>118.08</v>
      </c>
      <c r="J37" s="12">
        <v>120.9</v>
      </c>
      <c r="K37" s="132"/>
      <c r="L37" s="132">
        <v>122.24</v>
      </c>
      <c r="M37" s="132">
        <v>123.32</v>
      </c>
      <c r="N37" s="142">
        <v>123.32</v>
      </c>
      <c r="O37" s="217">
        <v>124.66</v>
      </c>
      <c r="P37" s="258">
        <v>124.66</v>
      </c>
      <c r="Q37" s="277">
        <v>124.66</v>
      </c>
      <c r="R37" s="297">
        <v>126.71</v>
      </c>
      <c r="S37" s="296"/>
      <c r="T37" s="296"/>
      <c r="U37" s="296"/>
      <c r="V37" s="297"/>
      <c r="W37" s="296"/>
      <c r="X37" s="296"/>
      <c r="Y37" s="365" t="s">
        <v>25</v>
      </c>
      <c r="Z37" s="363" t="s">
        <v>4</v>
      </c>
      <c r="AA37" s="385" t="s">
        <v>218</v>
      </c>
      <c r="AB37" s="64" t="s">
        <v>229</v>
      </c>
    </row>
    <row r="38" spans="1:28" ht="81" customHeight="1">
      <c r="A38" s="368"/>
      <c r="B38" s="366" t="s">
        <v>232</v>
      </c>
      <c r="C38" s="366"/>
      <c r="D38" s="6">
        <v>2028.63</v>
      </c>
      <c r="E38" s="6">
        <v>2074.33</v>
      </c>
      <c r="F38" s="6">
        <v>2248.7800000000002</v>
      </c>
      <c r="G38" s="6">
        <v>2243.73</v>
      </c>
      <c r="H38" s="12">
        <v>2291.9899999999998</v>
      </c>
      <c r="I38" s="12">
        <v>2361.52</v>
      </c>
      <c r="J38" s="12">
        <v>2418.0700000000002</v>
      </c>
      <c r="K38" s="132"/>
      <c r="L38" s="132">
        <v>2444.7399999999998</v>
      </c>
      <c r="M38" s="132">
        <v>2466.34</v>
      </c>
      <c r="N38" s="142">
        <v>2466.34</v>
      </c>
      <c r="O38" s="217">
        <v>2493.27</v>
      </c>
      <c r="P38" s="258">
        <v>2493.27</v>
      </c>
      <c r="Q38" s="277">
        <v>2493.27</v>
      </c>
      <c r="R38" s="312" t="s">
        <v>282</v>
      </c>
      <c r="S38" s="296"/>
      <c r="T38" s="296"/>
      <c r="U38" s="348"/>
      <c r="V38" s="312"/>
      <c r="W38" s="296"/>
      <c r="X38" s="296"/>
      <c r="Y38" s="365"/>
      <c r="Z38" s="364"/>
      <c r="AA38" s="385"/>
      <c r="AB38" s="64" t="s">
        <v>254</v>
      </c>
    </row>
    <row r="39" spans="1:28" ht="27" customHeight="1">
      <c r="A39" s="368" t="s">
        <v>102</v>
      </c>
      <c r="B39" s="367" t="s">
        <v>55</v>
      </c>
      <c r="C39" s="366"/>
      <c r="D39" s="6">
        <v>889</v>
      </c>
      <c r="E39" s="6">
        <v>907</v>
      </c>
      <c r="F39" s="6">
        <v>981</v>
      </c>
      <c r="G39" s="6">
        <v>978</v>
      </c>
      <c r="H39" s="6">
        <v>1003</v>
      </c>
      <c r="I39" s="12">
        <v>1037</v>
      </c>
      <c r="J39" s="12">
        <v>1059</v>
      </c>
      <c r="K39" s="133">
        <v>1069</v>
      </c>
      <c r="L39" s="133">
        <v>1069</v>
      </c>
      <c r="M39" s="133">
        <v>1073</v>
      </c>
      <c r="N39" s="136">
        <v>1073</v>
      </c>
      <c r="O39" s="219">
        <v>1085</v>
      </c>
      <c r="P39" s="260">
        <v>1085</v>
      </c>
      <c r="Q39" s="276">
        <v>1085</v>
      </c>
      <c r="R39" s="313">
        <v>1105</v>
      </c>
      <c r="S39" s="295">
        <v>1105</v>
      </c>
      <c r="T39" s="295"/>
      <c r="U39" s="295"/>
      <c r="V39" s="313">
        <v>1128</v>
      </c>
      <c r="W39" s="295"/>
      <c r="X39" s="295"/>
      <c r="Y39" s="365" t="s">
        <v>25</v>
      </c>
      <c r="Z39" s="363" t="s">
        <v>4</v>
      </c>
      <c r="AA39" s="385" t="s">
        <v>219</v>
      </c>
      <c r="AB39" s="50"/>
    </row>
    <row r="40" spans="1:28" ht="27" customHeight="1">
      <c r="A40" s="368"/>
      <c r="B40" s="367" t="s">
        <v>11</v>
      </c>
      <c r="C40" s="366"/>
      <c r="D40" s="6" t="s">
        <v>12</v>
      </c>
      <c r="E40" s="6" t="s">
        <v>13</v>
      </c>
      <c r="F40" s="6" t="s">
        <v>40</v>
      </c>
      <c r="G40" s="6" t="s">
        <v>71</v>
      </c>
      <c r="H40" s="6" t="s">
        <v>48</v>
      </c>
      <c r="I40" s="12" t="s">
        <v>75</v>
      </c>
      <c r="J40" s="12" t="s">
        <v>93</v>
      </c>
      <c r="K40" s="133" t="s">
        <v>115</v>
      </c>
      <c r="L40" s="133"/>
      <c r="M40" s="133" t="s">
        <v>122</v>
      </c>
      <c r="N40" s="136" t="s">
        <v>122</v>
      </c>
      <c r="O40" s="220" t="s">
        <v>125</v>
      </c>
      <c r="P40" s="261" t="s">
        <v>125</v>
      </c>
      <c r="Q40" s="281" t="s">
        <v>125</v>
      </c>
      <c r="R40" s="314" t="s">
        <v>283</v>
      </c>
      <c r="S40" s="301" t="s">
        <v>283</v>
      </c>
      <c r="T40" s="301"/>
      <c r="U40" s="301"/>
      <c r="V40" s="314" t="s">
        <v>297</v>
      </c>
      <c r="W40" s="301"/>
      <c r="X40" s="301"/>
      <c r="Y40" s="387"/>
      <c r="Z40" s="364"/>
      <c r="AA40" s="386"/>
      <c r="AB40" s="50"/>
    </row>
    <row r="41" spans="1:28" ht="97" customHeight="1">
      <c r="A41" s="368"/>
      <c r="B41" s="367" t="s">
        <v>1</v>
      </c>
      <c r="C41" s="366"/>
      <c r="D41" s="6" t="s">
        <v>2</v>
      </c>
      <c r="E41" s="6" t="s">
        <v>56</v>
      </c>
      <c r="F41" s="6" t="s">
        <v>69</v>
      </c>
      <c r="G41" s="6" t="s">
        <v>72</v>
      </c>
      <c r="H41" s="6" t="s">
        <v>49</v>
      </c>
      <c r="I41" s="12" t="s">
        <v>76</v>
      </c>
      <c r="J41" s="12" t="s">
        <v>92</v>
      </c>
      <c r="K41" s="133" t="s">
        <v>116</v>
      </c>
      <c r="L41" s="133"/>
      <c r="M41" s="133" t="s">
        <v>123</v>
      </c>
      <c r="N41" s="136" t="s">
        <v>191</v>
      </c>
      <c r="O41" s="220" t="s">
        <v>126</v>
      </c>
      <c r="P41" s="261" t="s">
        <v>126</v>
      </c>
      <c r="Q41" s="281" t="s">
        <v>126</v>
      </c>
      <c r="R41" s="314" t="s">
        <v>284</v>
      </c>
      <c r="S41" s="301" t="s">
        <v>284</v>
      </c>
      <c r="T41" s="301"/>
      <c r="U41" s="301"/>
      <c r="V41" s="314" t="s">
        <v>298</v>
      </c>
      <c r="W41" s="301"/>
      <c r="X41" s="301"/>
      <c r="Y41" s="387"/>
      <c r="Z41" s="364"/>
      <c r="AA41" s="386"/>
      <c r="AB41" s="64" t="s">
        <v>230</v>
      </c>
    </row>
    <row r="42" spans="1:28" ht="27" customHeight="1">
      <c r="A42" s="368"/>
      <c r="B42" s="367" t="s">
        <v>51</v>
      </c>
      <c r="C42" s="366"/>
      <c r="D42" s="6" t="s">
        <v>7</v>
      </c>
      <c r="E42" s="6" t="s">
        <v>8</v>
      </c>
      <c r="F42" s="6" t="s">
        <v>70</v>
      </c>
      <c r="G42" s="6" t="s">
        <v>16</v>
      </c>
      <c r="H42" s="6" t="s">
        <v>50</v>
      </c>
      <c r="I42" s="12" t="s">
        <v>77</v>
      </c>
      <c r="J42" s="12" t="s">
        <v>91</v>
      </c>
      <c r="K42" s="133" t="s">
        <v>117</v>
      </c>
      <c r="L42" s="133"/>
      <c r="M42" s="133" t="s">
        <v>124</v>
      </c>
      <c r="N42" s="136" t="s">
        <v>192</v>
      </c>
      <c r="O42" s="220" t="s">
        <v>127</v>
      </c>
      <c r="P42" s="261" t="s">
        <v>127</v>
      </c>
      <c r="Q42" s="281" t="s">
        <v>127</v>
      </c>
      <c r="R42" s="314" t="s">
        <v>285</v>
      </c>
      <c r="S42" s="301" t="s">
        <v>285</v>
      </c>
      <c r="T42" s="301"/>
      <c r="U42" s="301"/>
      <c r="V42" s="314" t="s">
        <v>299</v>
      </c>
      <c r="W42" s="301"/>
      <c r="X42" s="301"/>
      <c r="Y42" s="387"/>
      <c r="Z42" s="364"/>
      <c r="AA42" s="386"/>
      <c r="AB42" s="50"/>
    </row>
    <row r="43" spans="1:28" ht="27" customHeight="1">
      <c r="A43" s="368"/>
      <c r="B43" s="367" t="s">
        <v>17</v>
      </c>
      <c r="C43" s="366"/>
      <c r="D43" s="6">
        <v>1152.01</v>
      </c>
      <c r="E43" s="6">
        <v>1175.01</v>
      </c>
      <c r="F43" s="6">
        <v>1271.01</v>
      </c>
      <c r="G43" s="6">
        <v>1268.01</v>
      </c>
      <c r="H43" s="6">
        <v>1300.01</v>
      </c>
      <c r="I43" s="12">
        <v>1344.01</v>
      </c>
      <c r="J43" s="12">
        <v>1373.01</v>
      </c>
      <c r="K43" s="133">
        <v>1386.01</v>
      </c>
      <c r="L43" s="133">
        <v>1386.01</v>
      </c>
      <c r="M43" s="133">
        <v>1391.01</v>
      </c>
      <c r="N43" s="136">
        <v>1391.01</v>
      </c>
      <c r="O43" s="219">
        <v>1407.01</v>
      </c>
      <c r="P43" s="260">
        <v>1407.01</v>
      </c>
      <c r="Q43" s="276">
        <v>1407.01</v>
      </c>
      <c r="R43" s="313">
        <v>1432</v>
      </c>
      <c r="S43" s="295">
        <v>1432</v>
      </c>
      <c r="T43" s="295"/>
      <c r="U43" s="295"/>
      <c r="V43" s="313">
        <v>1462</v>
      </c>
      <c r="W43" s="295"/>
      <c r="X43" s="295"/>
      <c r="Y43" s="387"/>
      <c r="Z43" s="364"/>
      <c r="AA43" s="386"/>
      <c r="AB43" s="50"/>
    </row>
    <row r="44" spans="1:28" ht="27" customHeight="1">
      <c r="A44" s="368"/>
      <c r="B44" s="367" t="s">
        <v>3</v>
      </c>
      <c r="C44" s="366"/>
      <c r="D44" s="6">
        <v>54</v>
      </c>
      <c r="E44" s="6">
        <v>56</v>
      </c>
      <c r="F44" s="6">
        <v>61</v>
      </c>
      <c r="G44" s="6">
        <v>60</v>
      </c>
      <c r="H44" s="6">
        <v>62</v>
      </c>
      <c r="I44" s="12">
        <v>64</v>
      </c>
      <c r="J44" s="12">
        <v>65</v>
      </c>
      <c r="K44" s="133">
        <v>65</v>
      </c>
      <c r="L44" s="133">
        <v>66</v>
      </c>
      <c r="M44" s="133">
        <v>66</v>
      </c>
      <c r="N44" s="136">
        <v>66</v>
      </c>
      <c r="O44" s="219">
        <v>67</v>
      </c>
      <c r="P44" s="260">
        <v>67</v>
      </c>
      <c r="Q44" s="276">
        <v>67</v>
      </c>
      <c r="R44" s="313">
        <v>68</v>
      </c>
      <c r="S44" s="295">
        <v>68</v>
      </c>
      <c r="T44" s="295"/>
      <c r="U44" s="295"/>
      <c r="V44" s="313">
        <v>70</v>
      </c>
      <c r="W44" s="295"/>
      <c r="X44" s="295"/>
      <c r="Y44" s="387"/>
      <c r="Z44" s="364"/>
      <c r="AA44" s="386"/>
      <c r="AB44" s="50"/>
    </row>
    <row r="45" spans="1:28" ht="42" customHeight="1" thickBot="1">
      <c r="A45" s="48" t="s">
        <v>86</v>
      </c>
      <c r="B45" s="367" t="s">
        <v>87</v>
      </c>
      <c r="C45" s="367"/>
      <c r="D45" s="6"/>
      <c r="E45" s="6"/>
      <c r="F45" s="6"/>
      <c r="G45" s="84"/>
      <c r="H45" s="84"/>
      <c r="I45" s="12" t="s">
        <v>88</v>
      </c>
      <c r="J45" s="38" t="s">
        <v>95</v>
      </c>
      <c r="K45" s="131" t="s">
        <v>119</v>
      </c>
      <c r="L45" s="131">
        <v>3780.69</v>
      </c>
      <c r="M45" s="131">
        <v>3786.74</v>
      </c>
      <c r="N45" s="141" t="s">
        <v>193</v>
      </c>
      <c r="O45" s="215">
        <v>3862.5</v>
      </c>
      <c r="P45" s="151" t="s">
        <v>271</v>
      </c>
      <c r="Q45" s="282">
        <v>3939.7</v>
      </c>
      <c r="R45" s="315">
        <v>3953.88</v>
      </c>
      <c r="S45" s="290">
        <v>3953.88</v>
      </c>
      <c r="T45" s="340">
        <v>4032.8</v>
      </c>
      <c r="U45" s="315"/>
      <c r="V45" s="290">
        <v>4032.8</v>
      </c>
      <c r="W45" s="290"/>
      <c r="X45" s="315"/>
      <c r="Y45" s="143" t="s">
        <v>10</v>
      </c>
      <c r="Z45" s="55"/>
      <c r="AA45" s="64" t="s">
        <v>118</v>
      </c>
      <c r="AB45" s="83"/>
    </row>
    <row r="46" spans="1:28" ht="54.75" customHeight="1" thickBot="1">
      <c r="A46" s="8"/>
      <c r="B46" s="9"/>
      <c r="C46" s="10"/>
      <c r="E46" s="9"/>
      <c r="F46" s="7"/>
      <c r="G46" s="7"/>
      <c r="H46" s="7"/>
      <c r="I46" s="7"/>
      <c r="J46" s="7"/>
      <c r="K46" s="7"/>
      <c r="L46" s="7"/>
      <c r="M46" s="7"/>
      <c r="N46" s="7"/>
      <c r="O46" s="99"/>
      <c r="P46" s="99"/>
      <c r="Q46" s="99"/>
      <c r="R46" s="99"/>
      <c r="S46" s="99"/>
      <c r="T46" s="99"/>
      <c r="U46" s="99"/>
      <c r="V46" s="10"/>
      <c r="W46" s="10"/>
      <c r="X46" s="11"/>
      <c r="Y46" s="11"/>
    </row>
    <row r="47" spans="1:28" ht="14" customHeight="1" thickBot="1">
      <c r="A47" s="358" t="s">
        <v>197</v>
      </c>
      <c r="B47" s="359"/>
      <c r="C47" s="360"/>
      <c r="E47" s="9"/>
      <c r="F47" s="7"/>
      <c r="G47" s="7"/>
      <c r="H47" s="7"/>
      <c r="I47" s="7"/>
      <c r="J47" s="7"/>
      <c r="K47" s="7"/>
      <c r="L47" s="7"/>
      <c r="M47" s="7"/>
      <c r="N47" s="7"/>
      <c r="O47" s="99"/>
      <c r="P47" s="99"/>
      <c r="Q47" s="99"/>
      <c r="R47" s="99"/>
      <c r="S47" s="99"/>
      <c r="T47" s="99"/>
      <c r="U47" s="99"/>
      <c r="V47" s="10"/>
      <c r="W47" s="10"/>
      <c r="X47" s="11"/>
      <c r="Y47" s="11"/>
    </row>
    <row r="48" spans="1:28" ht="15" customHeight="1">
      <c r="A48" s="98" t="s">
        <v>194</v>
      </c>
      <c r="B48" s="356" t="s">
        <v>195</v>
      </c>
      <c r="C48" s="356"/>
      <c r="D48" s="1"/>
      <c r="E48" s="1"/>
      <c r="F48" s="1"/>
      <c r="G48" s="1"/>
      <c r="H48" s="1"/>
      <c r="I48" s="1"/>
      <c r="J48" s="1"/>
      <c r="K48" s="1"/>
      <c r="L48" s="1"/>
      <c r="M48" s="1"/>
      <c r="N48" s="1"/>
      <c r="O48" s="101"/>
      <c r="P48" s="101"/>
      <c r="Q48" s="101"/>
      <c r="R48" s="101"/>
      <c r="S48" s="101"/>
      <c r="T48" s="101"/>
      <c r="U48" s="101"/>
    </row>
    <row r="49" spans="1:3" ht="28" customHeight="1">
      <c r="A49" s="147" t="s">
        <v>209</v>
      </c>
      <c r="B49" s="357" t="s">
        <v>196</v>
      </c>
      <c r="C49" s="357"/>
    </row>
  </sheetData>
  <mergeCells count="61">
    <mergeCell ref="A8:A10"/>
    <mergeCell ref="B36:C36"/>
    <mergeCell ref="Y4:Y5"/>
    <mergeCell ref="Y18:Y23"/>
    <mergeCell ref="B22:C22"/>
    <mergeCell ref="B19:C19"/>
    <mergeCell ref="B31:C31"/>
    <mergeCell ref="A11:A12"/>
    <mergeCell ref="B11:C11"/>
    <mergeCell ref="B14:C14"/>
    <mergeCell ref="F31:G31"/>
    <mergeCell ref="B12:C12"/>
    <mergeCell ref="B6:C6"/>
    <mergeCell ref="B7:C7"/>
    <mergeCell ref="A15:A17"/>
    <mergeCell ref="B15:B17"/>
    <mergeCell ref="AA37:AA38"/>
    <mergeCell ref="Z18:Z23"/>
    <mergeCell ref="AA4:AA5"/>
    <mergeCell ref="AA15:AA17"/>
    <mergeCell ref="Z4:Z5"/>
    <mergeCell ref="AA18:AA23"/>
    <mergeCell ref="AA39:AA44"/>
    <mergeCell ref="B39:C39"/>
    <mergeCell ref="Y39:Y44"/>
    <mergeCell ref="B44:C44"/>
    <mergeCell ref="B41:C41"/>
    <mergeCell ref="A1:X1"/>
    <mergeCell ref="A2:C2"/>
    <mergeCell ref="A4:A5"/>
    <mergeCell ref="B4:C4"/>
    <mergeCell ref="B5:C5"/>
    <mergeCell ref="O2:Q2"/>
    <mergeCell ref="V2:X2"/>
    <mergeCell ref="R2:U2"/>
    <mergeCell ref="B29:C29"/>
    <mergeCell ref="B21:C21"/>
    <mergeCell ref="B27:C27"/>
    <mergeCell ref="B23:C23"/>
    <mergeCell ref="A18:A23"/>
    <mergeCell ref="B20:C20"/>
    <mergeCell ref="A24:A25"/>
    <mergeCell ref="B24:C24"/>
    <mergeCell ref="B25:C25"/>
    <mergeCell ref="B18:C18"/>
    <mergeCell ref="B48:C48"/>
    <mergeCell ref="B49:C49"/>
    <mergeCell ref="A47:C47"/>
    <mergeCell ref="B30:C30"/>
    <mergeCell ref="Z37:Z38"/>
    <mergeCell ref="Y37:Y38"/>
    <mergeCell ref="B38:C38"/>
    <mergeCell ref="B40:C40"/>
    <mergeCell ref="A39:A44"/>
    <mergeCell ref="B42:C42"/>
    <mergeCell ref="B37:C37"/>
    <mergeCell ref="A37:A38"/>
    <mergeCell ref="B45:C45"/>
    <mergeCell ref="Z39:Z44"/>
    <mergeCell ref="B43:C43"/>
    <mergeCell ref="F35:G35"/>
  </mergeCells>
  <phoneticPr fontId="9" type="noConversion"/>
  <hyperlinks>
    <hyperlink ref="AA29" r:id="rId1" xr:uid="{00000000-0004-0000-0000-000000000000}"/>
    <hyperlink ref="AA16" r:id="rId2" display="http://www.emploi.belgique.be/defaultNews.aspx?id=45451" xr:uid="{00000000-0004-0000-0000-000001000000}"/>
    <hyperlink ref="AA17" r:id="rId3" display="http://www.emploi.belgique.be/defaultNews.aspx?id=45451" xr:uid="{00000000-0004-0000-0000-000002000000}"/>
    <hyperlink ref="AA18" r:id="rId4" xr:uid="{00000000-0004-0000-0000-000003000000}"/>
    <hyperlink ref="AA39" r:id="rId5" location="AutoAncher3" display="http://www.emploi.belgique.be/defaultTab.aspx?id=442#AutoAncher3" xr:uid="{00000000-0004-0000-0000-000004000000}"/>
    <hyperlink ref="AA45" r:id="rId6" xr:uid="{00000000-0004-0000-0000-000005000000}"/>
    <hyperlink ref="AA27" r:id="rId7" xr:uid="{00000000-0004-0000-0000-000006000000}"/>
    <hyperlink ref="AA15" r:id="rId8" display="http://www.emploi.belgique.be/defaultNews.aspx?id=45451" xr:uid="{00000000-0004-0000-0000-000007000000}"/>
    <hyperlink ref="AB15" r:id="rId9" display="Source : SERVICE PUBLIC FEDERAL EMPLOI, TRAVAIL ET CONCERTATION SOCIALE - MB : 25-11-2016 Adaptation au 1er janvier 2017 des montants de rémunération prévus par la loi du 3 juillet 1978 relative aux contrats de travail à l'indice général des salaires conv" xr:uid="{00000000-0004-0000-0000-000008000000}"/>
    <hyperlink ref="AA24" r:id="rId10" xr:uid="{00000000-0004-0000-0000-000009000000}"/>
    <hyperlink ref="AA25" r:id="rId11" xr:uid="{00000000-0004-0000-0000-00000A000000}"/>
    <hyperlink ref="AA26" r:id="rId12" location="Vehicule_prive_:_velo" display="Le montant évolue concomitamment au montant maximum exonéré fixé par l’article 38 §1, 14° du Code des Impôts sur les Revenus (10/04/1992)." xr:uid="{00000000-0004-0000-0000-00000B000000}"/>
    <hyperlink ref="AA28" r:id="rId13" xr:uid="{00000000-0004-0000-0000-00000C000000}"/>
    <hyperlink ref="AA31" r:id="rId14" xr:uid="{00000000-0004-0000-0000-00000D000000}"/>
    <hyperlink ref="AA36" r:id="rId15" xr:uid="{00000000-0004-0000-0000-00000E000000}"/>
    <hyperlink ref="AB30" r:id="rId16" display="http://www.gallilex.cfwb.be/document/pdf/33576_009.pdf (version coordonnée au 01/07/2016)" xr:uid="{00000000-0004-0000-0000-00000F000000}"/>
    <hyperlink ref="AB27" r:id="rId17" display="http://www.plan.be/databases/17-fr-30-78-indice+des+prix+a+la+consommation+previsions+de+l+inflation" xr:uid="{00000000-0004-0000-0000-000010000000}"/>
    <hyperlink ref="AB29" r:id="rId18" display="http://www.ejustice.just.fgov.be/cgi_loi/loi_a1.pl?imgcn.x=48&amp;imgcn.y=10&amp;DETAIL=2002042543%2FF&amp;caller=list&amp;row_id=1&amp;numero=3&amp;rech=3&amp;cn=2002042543&amp;table_name=LOI&amp;nm=2002027463&amp;la=F&amp;chercher=t&amp;dt=DECRET+REGION+WALLONNE&amp;language=fr&amp;fr=f&amp;choix1=ET&amp;choix2=ET&amp;f" xr:uid="{00000000-0004-0000-0000-000011000000}"/>
    <hyperlink ref="AA37" r:id="rId19" xr:uid="{00000000-0004-0000-0000-000012000000}"/>
    <hyperlink ref="AA38" r:id="rId20" display="http://www.guichetdesarts.be/ressource/ressource-b-1/" xr:uid="{00000000-0004-0000-0000-000013000000}"/>
    <hyperlink ref="AB41" r:id="rId21" location="Page3" xr:uid="{00000000-0004-0000-0000-000014000000}"/>
    <hyperlink ref="AB37" r:id="rId22" xr:uid="{00000000-0004-0000-0000-000015000000}"/>
    <hyperlink ref="AA5" r:id="rId23" location=".WlSXp4qDMkg" display="http://www.riziv.fgov.be/fr/themes/incapacite-travail/montants/salaries-chomeurs/Pages/indemnite-autorisee-travail-volontaire.aspx - .WlSXp4qDMkg" xr:uid="{00000000-0004-0000-0000-000016000000}"/>
    <hyperlink ref="AB26" r:id="rId24" xr:uid="{00000000-0004-0000-0000-000017000000}"/>
    <hyperlink ref="AB38" r:id="rId25" xr:uid="{00000000-0004-0000-0000-000018000000}"/>
    <hyperlink ref="AB36" r:id="rId26" xr:uid="{00000000-0004-0000-0000-000019000000}"/>
    <hyperlink ref="AA4" r:id="rId27" location=".WlSXp4qDMkg" xr:uid="{00000000-0004-0000-0000-00001A000000}"/>
  </hyperlinks>
  <printOptions gridLines="1"/>
  <pageMargins left="0.39370078740157483" right="0.39370078740157483" top="0.70866141732283472" bottom="0.6692913385826772" header="0.51181102362204722" footer="0.51181102362204722"/>
  <pageSetup paperSize="9" scale="52" firstPageNumber="0" fitToHeight="2" orientation="landscape" horizontalDpi="300" verticalDpi="300"/>
  <headerFooter alignWithMargins="0"/>
  <drawing r:id="rId28"/>
  <legacy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workbookViewId="0">
      <selection activeCell="B31" sqref="B31"/>
    </sheetView>
  </sheetViews>
  <sheetFormatPr baseColWidth="10" defaultRowHeight="13"/>
  <cols>
    <col min="2" max="2" width="15.1640625" customWidth="1"/>
    <col min="3" max="3" width="15" customWidth="1"/>
    <col min="4" max="4" width="76.1640625" customWidth="1"/>
  </cols>
  <sheetData>
    <row r="1" spans="1:4" ht="34">
      <c r="A1" s="118"/>
      <c r="B1" s="119" t="s">
        <v>146</v>
      </c>
      <c r="C1" s="119" t="s">
        <v>145</v>
      </c>
      <c r="D1" s="118" t="s">
        <v>144</v>
      </c>
    </row>
    <row r="2" spans="1:4">
      <c r="A2" s="110">
        <v>2005</v>
      </c>
      <c r="B2" s="116">
        <f>ROUND(24.79*('Indices pivot'!C7/'Indices pivot'!C2),2)</f>
        <v>27.37</v>
      </c>
      <c r="C2" s="116">
        <v>1094.79</v>
      </c>
      <c r="D2" s="117"/>
    </row>
    <row r="3" spans="1:4">
      <c r="A3" s="18">
        <v>2006</v>
      </c>
      <c r="B3" s="17">
        <f t="shared" ref="B3:C5" si="0">ROUND(B2*1.02,2)</f>
        <v>27.92</v>
      </c>
      <c r="C3" s="17">
        <f t="shared" si="0"/>
        <v>1116.69</v>
      </c>
      <c r="D3" s="16"/>
    </row>
    <row r="4" spans="1:4">
      <c r="A4" s="18">
        <v>2007</v>
      </c>
      <c r="B4" s="17">
        <f t="shared" si="0"/>
        <v>28.48</v>
      </c>
      <c r="C4" s="17">
        <f t="shared" si="0"/>
        <v>1139.02</v>
      </c>
      <c r="D4" s="16"/>
    </row>
    <row r="5" spans="1:4">
      <c r="A5" s="18">
        <v>2008</v>
      </c>
      <c r="B5" s="17">
        <f t="shared" si="0"/>
        <v>29.05</v>
      </c>
      <c r="C5" s="17">
        <f t="shared" si="0"/>
        <v>1161.8</v>
      </c>
      <c r="D5" s="16"/>
    </row>
    <row r="6" spans="1:4">
      <c r="A6" s="18">
        <v>2009</v>
      </c>
      <c r="B6" s="17">
        <f>ROUND(B5*1.02*1.02,2)</f>
        <v>30.22</v>
      </c>
      <c r="C6" s="17">
        <f>ROUND(C5*1.02*1.02,2)</f>
        <v>1208.74</v>
      </c>
      <c r="D6" s="16" t="s">
        <v>143</v>
      </c>
    </row>
    <row r="7" spans="1:4">
      <c r="A7" s="18">
        <v>2010</v>
      </c>
      <c r="B7" s="17">
        <f>B6</f>
        <v>30.22</v>
      </c>
      <c r="C7" s="17">
        <f>C6</f>
        <v>1208.74</v>
      </c>
      <c r="D7" s="16" t="s">
        <v>142</v>
      </c>
    </row>
    <row r="8" spans="1:4">
      <c r="A8" s="18">
        <v>2011</v>
      </c>
      <c r="B8" s="17">
        <f>ROUND(B7*1.02,2)</f>
        <v>30.82</v>
      </c>
      <c r="C8" s="17">
        <f>ROUND(C7*1.02,2)</f>
        <v>1232.9100000000001</v>
      </c>
      <c r="D8" s="16"/>
    </row>
    <row r="9" spans="1:4">
      <c r="A9" s="18">
        <v>2012</v>
      </c>
      <c r="B9" s="17">
        <f>ROUND(B8*1.02,2)</f>
        <v>31.44</v>
      </c>
      <c r="C9" s="17">
        <f>ROUND(C8*1.02,2)</f>
        <v>1257.57</v>
      </c>
      <c r="D9" s="16"/>
    </row>
    <row r="10" spans="1:4">
      <c r="A10" s="18">
        <v>2013</v>
      </c>
      <c r="B10" s="17">
        <f>ROUND(B9*1.02*1.02,2)</f>
        <v>32.71</v>
      </c>
      <c r="C10" s="17">
        <f>ROUND(C9*1.02*1.02,2)</f>
        <v>1308.3800000000001</v>
      </c>
      <c r="D10" s="16" t="s">
        <v>141</v>
      </c>
    </row>
    <row r="11" spans="1:4">
      <c r="A11" s="18">
        <v>2014</v>
      </c>
      <c r="B11" s="17">
        <v>32.71</v>
      </c>
      <c r="C11" s="17">
        <v>1308.3800000000001</v>
      </c>
      <c r="D11" s="16" t="s">
        <v>140</v>
      </c>
    </row>
    <row r="12" spans="1:4">
      <c r="A12" s="18">
        <v>2015</v>
      </c>
      <c r="B12" s="17">
        <v>32.71</v>
      </c>
      <c r="C12" s="17">
        <v>1308.3800000000001</v>
      </c>
      <c r="D12" s="16" t="s">
        <v>140</v>
      </c>
    </row>
    <row r="13" spans="1:4">
      <c r="A13" s="18">
        <v>2016</v>
      </c>
      <c r="B13" s="17">
        <v>32.71</v>
      </c>
      <c r="C13" s="17">
        <v>1308.3800000000001</v>
      </c>
      <c r="D13" s="16" t="s">
        <v>139</v>
      </c>
    </row>
    <row r="14" spans="1:4">
      <c r="A14" s="18">
        <v>2017</v>
      </c>
      <c r="B14" s="17">
        <f>ROUND(B13*$C$21,2)</f>
        <v>33.36</v>
      </c>
      <c r="C14" s="17">
        <f>ROUND(C13*$C$21,2)</f>
        <v>1334.55</v>
      </c>
      <c r="D14" s="16"/>
    </row>
    <row r="15" spans="1:4">
      <c r="A15" s="321">
        <v>2018</v>
      </c>
      <c r="B15" s="319">
        <v>34.03</v>
      </c>
      <c r="C15" s="319">
        <v>1361.23</v>
      </c>
      <c r="D15" s="320"/>
    </row>
    <row r="16" spans="1:4">
      <c r="A16" s="321">
        <v>2019</v>
      </c>
      <c r="B16" s="319">
        <v>34.71</v>
      </c>
      <c r="C16" s="319">
        <v>1388.4</v>
      </c>
    </row>
    <row r="17" spans="1:4">
      <c r="A17" s="321" t="s">
        <v>294</v>
      </c>
      <c r="B17" s="319">
        <v>34.71</v>
      </c>
      <c r="C17" s="319">
        <v>2549.9</v>
      </c>
    </row>
    <row r="18" spans="1:4">
      <c r="B18" s="15"/>
    </row>
    <row r="19" spans="1:4" ht="43" customHeight="1">
      <c r="A19" s="408" t="s">
        <v>201</v>
      </c>
      <c r="B19" s="408"/>
      <c r="C19" s="408"/>
      <c r="D19" s="408"/>
    </row>
    <row r="20" spans="1:4">
      <c r="A20" s="409" t="s">
        <v>138</v>
      </c>
      <c r="B20" s="409"/>
      <c r="C20" s="409" t="s">
        <v>137</v>
      </c>
      <c r="D20" s="409"/>
    </row>
    <row r="21" spans="1:4">
      <c r="A21" s="410" t="s">
        <v>136</v>
      </c>
      <c r="B21" s="410"/>
      <c r="C21" s="411">
        <v>1.02</v>
      </c>
      <c r="D21" s="411"/>
    </row>
    <row r="22" spans="1:4">
      <c r="A22" s="411" t="s">
        <v>135</v>
      </c>
      <c r="B22" s="411"/>
      <c r="C22" s="411">
        <v>105.1</v>
      </c>
      <c r="D22" s="411"/>
    </row>
  </sheetData>
  <mergeCells count="7">
    <mergeCell ref="A19:D19"/>
    <mergeCell ref="A20:B20"/>
    <mergeCell ref="A21:B21"/>
    <mergeCell ref="A22:B22"/>
    <mergeCell ref="C20:D20"/>
    <mergeCell ref="C21:D21"/>
    <mergeCell ref="C22:D22"/>
  </mergeCells>
  <pageMargins left="0.78740157499999996" right="0.78740157499999996" top="0.984251969" bottom="0.984251969"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7"/>
  <sheetViews>
    <sheetView showRuler="0" workbookViewId="0">
      <selection activeCell="E27" sqref="E27"/>
    </sheetView>
  </sheetViews>
  <sheetFormatPr baseColWidth="10" defaultColWidth="9.1640625" defaultRowHeight="13"/>
  <cols>
    <col min="1" max="3" width="9.1640625" style="21"/>
    <col min="4" max="4" width="17.1640625" style="21" bestFit="1" customWidth="1"/>
    <col min="5" max="5" width="16.83203125" style="21" customWidth="1"/>
    <col min="6" max="16384" width="9.1640625" style="21"/>
  </cols>
  <sheetData>
    <row r="1" spans="1:5">
      <c r="A1" s="412" t="s">
        <v>161</v>
      </c>
      <c r="B1" s="413"/>
      <c r="C1" s="413"/>
      <c r="D1" s="413"/>
      <c r="E1" s="413"/>
    </row>
    <row r="2" spans="1:5">
      <c r="A2" s="413"/>
      <c r="B2" s="413"/>
      <c r="C2" s="413"/>
      <c r="D2" s="413"/>
      <c r="E2" s="413"/>
    </row>
    <row r="3" spans="1:5">
      <c r="A3" s="413"/>
      <c r="B3" s="413"/>
      <c r="C3" s="413"/>
      <c r="D3" s="413"/>
      <c r="E3" s="413"/>
    </row>
    <row r="4" spans="1:5">
      <c r="A4" s="413"/>
      <c r="B4" s="413"/>
      <c r="C4" s="413"/>
      <c r="D4" s="413"/>
      <c r="E4" s="413"/>
    </row>
    <row r="5" spans="1:5">
      <c r="A5" s="413"/>
      <c r="B5" s="413"/>
      <c r="C5" s="413"/>
      <c r="D5" s="413"/>
      <c r="E5" s="413"/>
    </row>
    <row r="8" spans="1:5">
      <c r="A8" s="122" t="s">
        <v>162</v>
      </c>
      <c r="B8" s="122"/>
      <c r="C8" s="123" t="s">
        <v>163</v>
      </c>
      <c r="D8" s="123" t="s">
        <v>164</v>
      </c>
      <c r="E8" s="123" t="s">
        <v>165</v>
      </c>
    </row>
    <row r="9" spans="1:5">
      <c r="A9" s="120">
        <v>2001</v>
      </c>
      <c r="B9" s="121">
        <v>0.2636</v>
      </c>
      <c r="C9" s="120"/>
      <c r="D9" s="120"/>
      <c r="E9" s="120"/>
    </row>
    <row r="10" spans="1:5">
      <c r="A10" s="24">
        <v>2002</v>
      </c>
      <c r="B10" s="32">
        <v>0.26769999999999999</v>
      </c>
      <c r="C10" s="24"/>
      <c r="D10" s="24"/>
      <c r="E10" s="24"/>
    </row>
    <row r="11" spans="1:5">
      <c r="A11" s="24">
        <v>2003</v>
      </c>
      <c r="B11" s="32">
        <v>0.27539999999999998</v>
      </c>
      <c r="C11" s="24"/>
      <c r="D11" s="24"/>
      <c r="E11" s="24"/>
    </row>
    <row r="12" spans="1:5">
      <c r="A12" s="24">
        <v>2004</v>
      </c>
      <c r="B12" s="32">
        <v>0.27710000000000001</v>
      </c>
      <c r="C12" s="24"/>
      <c r="D12" s="24"/>
      <c r="E12" s="24"/>
    </row>
    <row r="13" spans="1:5">
      <c r="A13" s="24">
        <v>2005</v>
      </c>
      <c r="B13" s="32">
        <v>0.28410000000000002</v>
      </c>
      <c r="C13" s="24" t="s">
        <v>166</v>
      </c>
      <c r="D13" s="26">
        <v>38518</v>
      </c>
      <c r="E13" s="26">
        <v>38527</v>
      </c>
    </row>
    <row r="14" spans="1:5">
      <c r="A14" s="24">
        <v>2006</v>
      </c>
      <c r="B14" s="32">
        <v>0.2903</v>
      </c>
      <c r="C14" s="24" t="s">
        <v>167</v>
      </c>
      <c r="D14" s="26">
        <v>38880</v>
      </c>
      <c r="E14" s="26">
        <v>38903</v>
      </c>
    </row>
    <row r="15" spans="1:5">
      <c r="A15" s="24">
        <v>2007</v>
      </c>
      <c r="B15" s="32">
        <v>0.29399999999999998</v>
      </c>
      <c r="C15" s="24" t="s">
        <v>168</v>
      </c>
      <c r="D15" s="26">
        <v>39261</v>
      </c>
      <c r="E15" s="26">
        <v>39266</v>
      </c>
    </row>
    <row r="16" spans="1:5">
      <c r="A16" s="45">
        <v>2008</v>
      </c>
      <c r="B16" s="32">
        <v>0.30930000000000002</v>
      </c>
      <c r="C16" s="24" t="s">
        <v>169</v>
      </c>
      <c r="D16" s="26">
        <v>39615</v>
      </c>
      <c r="E16" s="26">
        <v>39623</v>
      </c>
    </row>
    <row r="17" spans="1:5">
      <c r="A17" s="46">
        <v>2008</v>
      </c>
      <c r="B17" s="32">
        <v>0.31690000000000002</v>
      </c>
      <c r="C17" s="24" t="s">
        <v>170</v>
      </c>
      <c r="D17" s="26">
        <v>39783</v>
      </c>
      <c r="E17" s="26">
        <v>39787</v>
      </c>
    </row>
    <row r="18" spans="1:5">
      <c r="A18" s="24">
        <v>2009</v>
      </c>
      <c r="B18" s="32">
        <v>0.30259999999999998</v>
      </c>
      <c r="C18" s="24" t="s">
        <v>171</v>
      </c>
      <c r="D18" s="26">
        <v>39982</v>
      </c>
      <c r="E18" s="26">
        <v>39993</v>
      </c>
    </row>
    <row r="19" spans="1:5">
      <c r="A19" s="24">
        <v>2010</v>
      </c>
      <c r="B19" s="32">
        <v>0.31780000000000003</v>
      </c>
      <c r="C19" s="24" t="s">
        <v>172</v>
      </c>
      <c r="D19" s="26">
        <v>40343</v>
      </c>
      <c r="E19" s="26">
        <v>40346</v>
      </c>
    </row>
    <row r="20" spans="1:5">
      <c r="A20" s="24">
        <v>2011</v>
      </c>
      <c r="B20" s="32">
        <v>0.3352</v>
      </c>
      <c r="C20" s="24" t="s">
        <v>173</v>
      </c>
      <c r="D20" s="26">
        <v>40714</v>
      </c>
      <c r="E20" s="26">
        <v>40716</v>
      </c>
    </row>
    <row r="21" spans="1:5">
      <c r="A21" s="24">
        <v>2012</v>
      </c>
      <c r="B21" s="32">
        <v>0.34560000000000002</v>
      </c>
      <c r="C21" s="24" t="s">
        <v>174</v>
      </c>
      <c r="D21" s="26">
        <v>41078</v>
      </c>
      <c r="E21" s="26">
        <v>41087</v>
      </c>
    </row>
    <row r="22" spans="1:5">
      <c r="A22" s="24">
        <v>2013</v>
      </c>
      <c r="B22" s="32">
        <v>0.34610000000000002</v>
      </c>
      <c r="C22" s="24" t="s">
        <v>175</v>
      </c>
      <c r="D22" s="26">
        <v>41460</v>
      </c>
      <c r="E22" s="26">
        <v>41464</v>
      </c>
    </row>
    <row r="23" spans="1:5">
      <c r="A23" s="24">
        <v>2014</v>
      </c>
      <c r="B23" s="33">
        <v>0.3468</v>
      </c>
      <c r="C23" s="24" t="s">
        <v>176</v>
      </c>
      <c r="D23" s="26">
        <v>41817</v>
      </c>
      <c r="E23" s="26">
        <v>41824</v>
      </c>
    </row>
    <row r="24" spans="1:5">
      <c r="A24" s="24">
        <v>2015</v>
      </c>
      <c r="B24" s="33">
        <v>0.3412</v>
      </c>
      <c r="C24" s="24" t="s">
        <v>177</v>
      </c>
      <c r="D24" s="26">
        <v>42174</v>
      </c>
      <c r="E24" s="26">
        <v>42181</v>
      </c>
    </row>
    <row r="25" spans="1:5">
      <c r="A25" s="29">
        <v>2016</v>
      </c>
      <c r="B25" s="34">
        <v>0.33629999999999999</v>
      </c>
      <c r="C25" s="29" t="s">
        <v>178</v>
      </c>
      <c r="D25" s="26">
        <v>42552</v>
      </c>
      <c r="E25" s="26">
        <v>42551</v>
      </c>
    </row>
    <row r="26" spans="1:5">
      <c r="A26" s="24">
        <v>2017</v>
      </c>
      <c r="B26" s="34">
        <v>0.34599999999999997</v>
      </c>
      <c r="C26" s="244" t="s">
        <v>272</v>
      </c>
      <c r="D26" s="243">
        <v>42906</v>
      </c>
      <c r="E26" s="244" t="s">
        <v>273</v>
      </c>
    </row>
    <row r="27" spans="1:5">
      <c r="A27" s="23">
        <v>2018</v>
      </c>
      <c r="B27" s="322">
        <v>0.35730000000000001</v>
      </c>
      <c r="C27" s="323" t="s">
        <v>289</v>
      </c>
      <c r="D27" s="324">
        <v>43265</v>
      </c>
      <c r="E27" s="324">
        <v>43278</v>
      </c>
    </row>
  </sheetData>
  <mergeCells count="1">
    <mergeCell ref="A1:E5"/>
  </mergeCells>
  <hyperlinks>
    <hyperlink ref="D26" r:id="rId1" display="http://www.ejustice.just.fgov.be/cgi/article_body.pl?language=fr&amp;caller=summary&amp;pub_date=2017-06-23&amp;numac=2017012538" xr:uid="{00000000-0004-0000-0200-000000000000}"/>
    <hyperlink ref="C26" r:id="rId2" xr:uid="{00000000-0004-0000-0200-000001000000}"/>
    <hyperlink ref="E26" r:id="rId3" xr:uid="{00000000-0004-0000-0200-000002000000}"/>
    <hyperlink ref="C27" r:id="rId4" xr:uid="{00000000-0004-0000-0200-000003000000}"/>
    <hyperlink ref="D27" r:id="rId5" display="https://fedweb.belgium.be/sites/default/files/Circ_Ozb_666_Kilometervergoeding_indemnite_kilometrique.pdf" xr:uid="{00000000-0004-0000-0200-000004000000}"/>
    <hyperlink ref="E27" r:id="rId6" display="https://fedweb.belgium.be/sites/default/files/Circ_Ozb_666_Kilometervergoeding_indemnite_kilometrique.pdf" xr:uid="{00000000-0004-0000-0200-000005000000}"/>
  </hyperlinks>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6"/>
  <sheetViews>
    <sheetView showRuler="0" topLeftCell="A11" zoomScale="125" workbookViewId="0">
      <selection activeCell="J6" sqref="J6"/>
    </sheetView>
  </sheetViews>
  <sheetFormatPr baseColWidth="10" defaultColWidth="9.1640625" defaultRowHeight="13"/>
  <cols>
    <col min="1" max="5" width="9.1640625" style="21"/>
    <col min="6" max="6" width="14.83203125" style="21" customWidth="1"/>
    <col min="7" max="8" width="10.83203125" style="21" customWidth="1"/>
    <col min="9" max="9" width="13.83203125" style="21" customWidth="1"/>
    <col min="10" max="10" width="14.83203125" style="21" customWidth="1"/>
    <col min="11" max="11" width="9.1640625" style="21" customWidth="1"/>
    <col min="12" max="12" width="10.6640625" style="21" customWidth="1"/>
    <col min="13" max="16384" width="9.1640625" style="21"/>
  </cols>
  <sheetData>
    <row r="1" spans="1:12" ht="19" thickTop="1">
      <c r="A1" s="19" t="s">
        <v>63</v>
      </c>
      <c r="B1" s="20"/>
      <c r="C1" s="20"/>
      <c r="D1" s="20"/>
      <c r="E1" s="20"/>
      <c r="F1" s="20"/>
      <c r="G1" s="414" t="s">
        <v>150</v>
      </c>
      <c r="H1" s="414"/>
      <c r="I1" s="414"/>
      <c r="J1" s="414"/>
      <c r="K1" s="414"/>
      <c r="L1" s="414"/>
    </row>
    <row r="2" spans="1:12" ht="12" customHeight="1">
      <c r="A2" s="22"/>
      <c r="B2" s="23"/>
      <c r="C2" s="23"/>
      <c r="D2" s="23"/>
      <c r="E2" s="23"/>
      <c r="F2" s="23"/>
      <c r="G2" s="427" t="s">
        <v>151</v>
      </c>
      <c r="H2" s="428"/>
      <c r="I2" s="428"/>
      <c r="J2" s="194" t="s">
        <v>152</v>
      </c>
      <c r="K2" s="195" t="s">
        <v>153</v>
      </c>
      <c r="L2" s="193" t="s">
        <v>243</v>
      </c>
    </row>
    <row r="3" spans="1:12" ht="14" thickBot="1">
      <c r="G3" s="429"/>
      <c r="H3" s="430"/>
      <c r="I3" s="430"/>
      <c r="J3" s="196">
        <v>91.09</v>
      </c>
      <c r="K3" s="197">
        <f>'health index'!G277</f>
        <v>91.982519999999994</v>
      </c>
      <c r="L3" s="189">
        <f>AVERAGE('health index'!G274:G277)</f>
        <v>91.992870000000011</v>
      </c>
    </row>
    <row r="4" spans="1:12" ht="13" customHeight="1">
      <c r="A4" s="412" t="s">
        <v>154</v>
      </c>
      <c r="B4" s="412"/>
      <c r="C4" s="412"/>
      <c r="D4" s="412"/>
    </row>
    <row r="5" spans="1:12">
      <c r="A5" s="412"/>
      <c r="B5" s="412"/>
      <c r="C5" s="412"/>
      <c r="D5" s="412"/>
      <c r="G5" s="431" t="s">
        <v>155</v>
      </c>
      <c r="H5" s="431"/>
      <c r="I5" s="431"/>
      <c r="J5" s="431"/>
    </row>
    <row r="6" spans="1:12" ht="14" thickBot="1">
      <c r="A6" s="412"/>
      <c r="B6" s="412"/>
      <c r="C6" s="412"/>
      <c r="D6" s="412"/>
      <c r="G6" s="432" t="s">
        <v>156</v>
      </c>
      <c r="H6" s="433"/>
      <c r="I6" s="433"/>
      <c r="J6" s="192">
        <f>B13</f>
        <v>0.31</v>
      </c>
    </row>
    <row r="7" spans="1:12">
      <c r="A7" s="412"/>
      <c r="B7" s="412"/>
      <c r="C7" s="412"/>
      <c r="D7" s="412"/>
    </row>
    <row r="8" spans="1:12">
      <c r="A8" s="412"/>
      <c r="B8" s="412"/>
      <c r="C8" s="412"/>
      <c r="D8" s="412"/>
    </row>
    <row r="10" spans="1:12">
      <c r="E10" s="21" t="s">
        <v>157</v>
      </c>
    </row>
    <row r="11" spans="1:12" ht="40" customHeight="1">
      <c r="A11" s="434" t="s">
        <v>158</v>
      </c>
      <c r="B11" s="434"/>
      <c r="C11" s="199" t="s">
        <v>159</v>
      </c>
      <c r="E11" s="200" t="s">
        <v>158</v>
      </c>
      <c r="F11" s="201"/>
    </row>
    <row r="12" spans="1:12">
      <c r="A12" s="120">
        <v>2009</v>
      </c>
      <c r="B12" s="198">
        <v>0.28000000000000003</v>
      </c>
      <c r="C12" s="198"/>
      <c r="E12" s="120">
        <v>2009</v>
      </c>
      <c r="F12" s="198">
        <v>0.15</v>
      </c>
    </row>
    <row r="13" spans="1:12">
      <c r="A13" s="26">
        <v>39995</v>
      </c>
      <c r="B13" s="27">
        <v>0.31</v>
      </c>
      <c r="C13" s="25"/>
      <c r="E13" s="26">
        <v>3470</v>
      </c>
      <c r="F13" s="25">
        <v>0.15</v>
      </c>
    </row>
    <row r="14" spans="1:12">
      <c r="A14" s="24">
        <v>2010</v>
      </c>
      <c r="B14" s="25">
        <v>0.30959999999999999</v>
      </c>
      <c r="C14" s="25"/>
      <c r="E14" s="24">
        <v>2010</v>
      </c>
      <c r="F14" s="25">
        <v>0.14979999999999999</v>
      </c>
    </row>
    <row r="15" spans="1:12">
      <c r="A15" s="24">
        <v>2011</v>
      </c>
      <c r="B15" s="25">
        <v>0.31850000000000001</v>
      </c>
      <c r="C15" s="25"/>
      <c r="E15" s="24">
        <v>2011</v>
      </c>
      <c r="F15" s="25">
        <v>0.15409999999999999</v>
      </c>
    </row>
    <row r="16" spans="1:12">
      <c r="A16" s="24">
        <v>2012</v>
      </c>
      <c r="B16" s="25">
        <v>0.33069999999999999</v>
      </c>
      <c r="C16" s="25"/>
      <c r="E16" s="24">
        <v>2012</v>
      </c>
      <c r="F16" s="25">
        <v>0.16</v>
      </c>
    </row>
    <row r="17" spans="1:18">
      <c r="A17" s="24">
        <v>2013</v>
      </c>
      <c r="B17" s="25">
        <v>0.3382</v>
      </c>
      <c r="C17" s="25"/>
      <c r="E17" s="24">
        <v>2013</v>
      </c>
      <c r="F17" s="25">
        <v>0.1636</v>
      </c>
      <c r="I17" s="28"/>
    </row>
    <row r="18" spans="1:18">
      <c r="A18" s="29">
        <v>2014</v>
      </c>
      <c r="B18" s="24">
        <f>ROUND(($J$6*C18)/$J$3,4)</f>
        <v>0.34100000000000003</v>
      </c>
      <c r="C18" s="24">
        <v>100.2</v>
      </c>
      <c r="E18" s="29">
        <v>2014</v>
      </c>
      <c r="F18" s="24">
        <f>ROUND((F13*C18/J3),4)</f>
        <v>0.16500000000000001</v>
      </c>
      <c r="I18" s="28"/>
    </row>
    <row r="19" spans="1:18">
      <c r="A19" s="29">
        <v>2015</v>
      </c>
      <c r="B19" s="24">
        <f>ROUND(($J$6*C19)/$J$3,4)</f>
        <v>0.34060000000000001</v>
      </c>
      <c r="C19" s="24">
        <v>100.09</v>
      </c>
      <c r="E19" s="29">
        <v>2015</v>
      </c>
      <c r="F19" s="24">
        <f>ROUND((F13*C19)/J3,4)</f>
        <v>0.1648</v>
      </c>
      <c r="I19" s="28"/>
    </row>
    <row r="20" spans="1:18">
      <c r="A20" s="423" t="s">
        <v>249</v>
      </c>
      <c r="B20" s="424"/>
      <c r="C20" s="425"/>
      <c r="E20" s="423" t="s">
        <v>250</v>
      </c>
      <c r="F20" s="425"/>
      <c r="I20" s="28"/>
    </row>
    <row r="21" spans="1:18">
      <c r="A21" s="29">
        <v>2016</v>
      </c>
      <c r="B21" s="29">
        <f>ROUND(($J$6*C21)/$L$3,4)</f>
        <v>0.3392</v>
      </c>
      <c r="C21" s="29">
        <v>100.66</v>
      </c>
      <c r="E21" s="29">
        <v>2016</v>
      </c>
      <c r="F21" s="24">
        <f>ROUND(($F$13*C21/$L$3),4)</f>
        <v>0.1641</v>
      </c>
      <c r="I21" s="28"/>
    </row>
    <row r="22" spans="1:18">
      <c r="A22" s="329">
        <v>2017</v>
      </c>
      <c r="B22" s="330">
        <f>ROUND(($J$6*C22)/$L$3,4)</f>
        <v>0.34300000000000003</v>
      </c>
      <c r="C22" s="331">
        <v>101.79</v>
      </c>
      <c r="E22" s="329">
        <v>2017</v>
      </c>
      <c r="F22" s="332">
        <f>ROUND(($F$13*C22/$L$3),4)</f>
        <v>0.16600000000000001</v>
      </c>
      <c r="I22" s="28"/>
    </row>
    <row r="23" spans="1:18">
      <c r="A23" s="190">
        <v>2018</v>
      </c>
      <c r="B23" s="191">
        <f>ROUND(($J$6*C23)/$L$3,4)</f>
        <v>0.34910000000000002</v>
      </c>
      <c r="C23" s="190">
        <v>103.61</v>
      </c>
      <c r="D23" s="190"/>
      <c r="E23" s="190">
        <v>2018</v>
      </c>
      <c r="F23" s="191">
        <f>ROUND(($F$13*C23/$L$3),4)</f>
        <v>0.16889999999999999</v>
      </c>
      <c r="I23" s="28"/>
    </row>
    <row r="24" spans="1:18">
      <c r="A24" s="333">
        <v>2019</v>
      </c>
      <c r="B24" s="333">
        <f>ROUND(($J$6*C24)/$L$3,4)</f>
        <v>0.35649999999999998</v>
      </c>
      <c r="C24" s="333">
        <v>105.79</v>
      </c>
      <c r="D24" s="29"/>
      <c r="E24" s="333">
        <v>2019</v>
      </c>
      <c r="F24" s="283">
        <f>ROUND(($F$13*C24/$L$3),4)</f>
        <v>0.17249999999999999</v>
      </c>
      <c r="I24" s="28"/>
    </row>
    <row r="25" spans="1:18">
      <c r="I25" s="28"/>
    </row>
    <row r="26" spans="1:18">
      <c r="A26" s="30"/>
      <c r="E26" s="31"/>
      <c r="F26" s="31"/>
      <c r="I26" s="28"/>
      <c r="R26" s="162"/>
    </row>
    <row r="27" spans="1:18">
      <c r="A27" s="21" t="s">
        <v>160</v>
      </c>
      <c r="E27" s="31"/>
      <c r="F27" s="31"/>
      <c r="I27" s="28"/>
    </row>
    <row r="28" spans="1:18">
      <c r="E28" s="31"/>
      <c r="F28" s="31"/>
      <c r="I28" s="28"/>
    </row>
    <row r="29" spans="1:18" ht="16" customHeight="1">
      <c r="A29" s="415" t="s">
        <v>251</v>
      </c>
      <c r="B29" s="416"/>
      <c r="C29" s="416"/>
      <c r="D29" s="416"/>
      <c r="E29" s="416"/>
      <c r="F29" s="416"/>
      <c r="G29" s="416"/>
      <c r="H29" s="416"/>
      <c r="I29" s="416"/>
    </row>
    <row r="30" spans="1:18">
      <c r="A30" s="426" t="s">
        <v>138</v>
      </c>
      <c r="B30" s="426"/>
      <c r="C30" s="417" t="s">
        <v>252</v>
      </c>
      <c r="D30" s="417"/>
      <c r="E30" s="417"/>
      <c r="F30" s="417"/>
      <c r="G30" s="417"/>
      <c r="H30" s="417"/>
      <c r="I30" s="417"/>
    </row>
    <row r="31" spans="1:18">
      <c r="A31" s="421" t="s">
        <v>136</v>
      </c>
      <c r="B31" s="422"/>
      <c r="C31" s="418" t="s">
        <v>253</v>
      </c>
      <c r="D31" s="419"/>
      <c r="E31" s="419"/>
      <c r="F31" s="419"/>
      <c r="G31" s="419"/>
      <c r="H31" s="419"/>
      <c r="I31" s="420"/>
    </row>
    <row r="32" spans="1:18">
      <c r="I32" s="28"/>
    </row>
    <row r="33" spans="9:9">
      <c r="I33" s="28"/>
    </row>
    <row r="34" spans="9:9">
      <c r="I34" s="28"/>
    </row>
    <row r="35" spans="9:9">
      <c r="I35" s="28"/>
    </row>
    <row r="36" spans="9:9">
      <c r="I36" s="28"/>
    </row>
  </sheetData>
  <mergeCells count="13">
    <mergeCell ref="G1:L1"/>
    <mergeCell ref="A29:I29"/>
    <mergeCell ref="C30:I30"/>
    <mergeCell ref="C31:I31"/>
    <mergeCell ref="A31:B31"/>
    <mergeCell ref="A20:C20"/>
    <mergeCell ref="E20:F20"/>
    <mergeCell ref="A30:B30"/>
    <mergeCell ref="G2:I3"/>
    <mergeCell ref="A4:D8"/>
    <mergeCell ref="G5:J5"/>
    <mergeCell ref="G6:I6"/>
    <mergeCell ref="A11:B11"/>
  </mergeCells>
  <pageMargins left="0.79000000000000015" right="0.79000000000000015" top="0.98" bottom="0.98" header="0.51" footer="0.51"/>
  <pageSetup paperSize="9" scale="80" orientation="landscape" horizontalDpi="4294967292" verticalDpi="4294967292"/>
  <headerFooter alignWithMargins="0">
    <oddHeader>&amp;L&amp;"UB Frutiger UltraBlack,Normal"&amp;12CESSoC&amp;"L Frutiger Light,Normal", &amp;9association sans but lucratif
Numéro d’entreprise : 451 86 5986
&amp;C&amp;R</oddHeader>
    <oddFooter>&amp;L&amp;"Lucida Grande,Normal"&amp;12&amp;F&amp;RAuteur : D. Vanpeteghem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0"/>
  <sheetViews>
    <sheetView topLeftCell="A5" zoomScaleNormal="100" workbookViewId="0">
      <selection activeCell="D26" sqref="D26"/>
    </sheetView>
  </sheetViews>
  <sheetFormatPr baseColWidth="10" defaultColWidth="9.1640625" defaultRowHeight="13"/>
  <cols>
    <col min="1" max="1" width="17.33203125" style="21" customWidth="1"/>
    <col min="2" max="2" width="17.1640625" style="21" customWidth="1"/>
    <col min="3" max="3" width="20.33203125" style="21" customWidth="1"/>
    <col min="4" max="4" width="20" style="21" customWidth="1"/>
    <col min="5" max="5" width="10.83203125" style="21" customWidth="1"/>
    <col min="6" max="6" width="22.1640625" style="21" customWidth="1"/>
    <col min="7" max="16384" width="9.1640625" style="21"/>
  </cols>
  <sheetData>
    <row r="1" spans="1:6" ht="27" customHeight="1" thickTop="1">
      <c r="A1" s="42" t="s">
        <v>188</v>
      </c>
      <c r="B1" s="41"/>
      <c r="C1" s="41"/>
      <c r="D1" s="41"/>
      <c r="E1" s="41"/>
    </row>
    <row r="2" spans="1:6">
      <c r="A2" s="40" t="s">
        <v>187</v>
      </c>
      <c r="B2" s="39"/>
      <c r="C2" s="39"/>
      <c r="D2" s="39"/>
      <c r="E2" s="39"/>
    </row>
    <row r="3" spans="1:6">
      <c r="A3" s="39"/>
      <c r="B3" s="39"/>
      <c r="C3" s="39"/>
      <c r="D3" s="39"/>
      <c r="E3" s="39"/>
    </row>
    <row r="4" spans="1:6">
      <c r="A4" s="39" t="s">
        <v>186</v>
      </c>
      <c r="B4" s="39"/>
      <c r="C4" s="39"/>
      <c r="D4" s="39"/>
      <c r="E4" s="39"/>
    </row>
    <row r="5" spans="1:6">
      <c r="A5" s="124"/>
      <c r="B5" s="124"/>
      <c r="C5" s="124"/>
      <c r="D5" s="124"/>
      <c r="E5" s="39"/>
    </row>
    <row r="6" spans="1:6">
      <c r="A6" s="125" t="s">
        <v>185</v>
      </c>
      <c r="B6" s="125" t="s">
        <v>184</v>
      </c>
      <c r="C6" s="125" t="s">
        <v>269</v>
      </c>
      <c r="D6" s="124"/>
      <c r="E6" s="39"/>
    </row>
    <row r="7" spans="1:6">
      <c r="A7" s="126" t="s">
        <v>183</v>
      </c>
      <c r="B7" s="127">
        <v>1200000</v>
      </c>
      <c r="C7" s="126"/>
      <c r="D7" s="124"/>
      <c r="E7" s="39"/>
      <c r="F7" s="36"/>
    </row>
    <row r="8" spans="1:6">
      <c r="A8" s="128">
        <v>35704</v>
      </c>
      <c r="B8" s="127">
        <f>ROUND(B7*1.02,0)</f>
        <v>1224000</v>
      </c>
      <c r="C8" s="126"/>
      <c r="D8" s="124"/>
      <c r="E8" s="39"/>
    </row>
    <row r="9" spans="1:6">
      <c r="A9" s="128">
        <v>36312</v>
      </c>
      <c r="B9" s="127">
        <f>ROUND(B8*1.02,0)</f>
        <v>1248480</v>
      </c>
      <c r="C9" s="126"/>
      <c r="D9" s="124"/>
      <c r="E9" s="39"/>
    </row>
    <row r="10" spans="1:6">
      <c r="A10" s="128">
        <v>36770</v>
      </c>
      <c r="B10" s="127">
        <f>ROUND(B9*1.02,0)</f>
        <v>1273450</v>
      </c>
      <c r="C10" s="126"/>
      <c r="D10" s="124"/>
      <c r="E10" s="39"/>
    </row>
    <row r="11" spans="1:6">
      <c r="A11" s="128">
        <v>37073</v>
      </c>
      <c r="B11" s="127">
        <f>ROUND(B10*1.02,0)</f>
        <v>1298919</v>
      </c>
      <c r="C11" s="126"/>
      <c r="D11" s="124"/>
      <c r="E11" s="39"/>
    </row>
    <row r="12" spans="1:6">
      <c r="A12" s="128">
        <v>37347</v>
      </c>
      <c r="B12" s="127">
        <f>ROUND(B11*1.02,0)</f>
        <v>1324897</v>
      </c>
      <c r="C12" s="129">
        <f>ROUND(B12/40.3399,2)</f>
        <v>32843.339999999997</v>
      </c>
      <c r="D12" s="124"/>
      <c r="E12" s="39"/>
    </row>
    <row r="13" spans="1:6">
      <c r="A13" s="128">
        <v>37803</v>
      </c>
      <c r="B13" s="126"/>
      <c r="C13" s="129">
        <f t="shared" ref="C13:C24" si="0">ROUND(C12*1.02,2)</f>
        <v>33500.21</v>
      </c>
      <c r="D13" s="124"/>
      <c r="E13" s="39"/>
    </row>
    <row r="14" spans="1:6">
      <c r="A14" s="128">
        <v>38292</v>
      </c>
      <c r="B14" s="126"/>
      <c r="C14" s="129">
        <f t="shared" si="0"/>
        <v>34170.21</v>
      </c>
      <c r="D14" s="124"/>
      <c r="E14" s="39"/>
    </row>
    <row r="15" spans="1:6">
      <c r="A15" s="128">
        <v>38596</v>
      </c>
      <c r="B15" s="126"/>
      <c r="C15" s="129">
        <f t="shared" si="0"/>
        <v>34853.61</v>
      </c>
      <c r="D15" s="124"/>
      <c r="E15" s="39"/>
    </row>
    <row r="16" spans="1:6">
      <c r="A16" s="128">
        <v>39022</v>
      </c>
      <c r="B16" s="126"/>
      <c r="C16" s="129">
        <f t="shared" si="0"/>
        <v>35550.68</v>
      </c>
      <c r="D16" s="124"/>
      <c r="E16" s="39"/>
    </row>
    <row r="17" spans="1:5">
      <c r="A17" s="128">
        <v>39479</v>
      </c>
      <c r="B17" s="126"/>
      <c r="C17" s="129">
        <f t="shared" si="0"/>
        <v>36261.69</v>
      </c>
      <c r="D17" s="124"/>
      <c r="E17" s="39"/>
    </row>
    <row r="18" spans="1:5">
      <c r="A18" s="128">
        <v>39600</v>
      </c>
      <c r="B18" s="126"/>
      <c r="C18" s="129">
        <f t="shared" si="0"/>
        <v>36986.92</v>
      </c>
      <c r="D18" s="124"/>
      <c r="E18" s="39"/>
    </row>
    <row r="19" spans="1:5">
      <c r="A19" s="128">
        <v>39722</v>
      </c>
      <c r="B19" s="126"/>
      <c r="C19" s="129">
        <f t="shared" si="0"/>
        <v>37726.660000000003</v>
      </c>
      <c r="D19" s="124"/>
      <c r="E19" s="39"/>
    </row>
    <row r="20" spans="1:5">
      <c r="A20" s="128">
        <v>40452</v>
      </c>
      <c r="B20" s="126"/>
      <c r="C20" s="129">
        <f t="shared" si="0"/>
        <v>38481.19</v>
      </c>
      <c r="D20" s="124"/>
    </row>
    <row r="21" spans="1:5">
      <c r="A21" s="128">
        <v>40695</v>
      </c>
      <c r="B21" s="126"/>
      <c r="C21" s="129">
        <f t="shared" si="0"/>
        <v>39250.81</v>
      </c>
      <c r="D21" s="124"/>
    </row>
    <row r="22" spans="1:5">
      <c r="A22" s="128">
        <v>40969</v>
      </c>
      <c r="B22" s="126"/>
      <c r="C22" s="129">
        <f t="shared" si="0"/>
        <v>40035.83</v>
      </c>
      <c r="D22" s="124"/>
    </row>
    <row r="23" spans="1:5">
      <c r="A23" s="128">
        <v>41275</v>
      </c>
      <c r="B23" s="126"/>
      <c r="C23" s="129">
        <f t="shared" si="0"/>
        <v>40836.550000000003</v>
      </c>
      <c r="D23" s="124"/>
    </row>
    <row r="24" spans="1:5">
      <c r="A24" s="128">
        <v>42552</v>
      </c>
      <c r="B24" s="126"/>
      <c r="C24" s="129">
        <f t="shared" si="0"/>
        <v>41653.279999999999</v>
      </c>
      <c r="D24" s="124"/>
    </row>
    <row r="25" spans="1:5">
      <c r="A25" s="128">
        <v>42917</v>
      </c>
      <c r="B25" s="126"/>
      <c r="C25" s="251">
        <f>ROUND(C24*1.02,2)</f>
        <v>42486.35</v>
      </c>
      <c r="D25" s="237"/>
    </row>
    <row r="26" spans="1:5">
      <c r="A26" s="238">
        <v>43374</v>
      </c>
      <c r="B26" s="239"/>
      <c r="C26" s="251">
        <f>ROUND(C25*1.02,2)</f>
        <v>43336.08</v>
      </c>
      <c r="D26" s="237"/>
    </row>
    <row r="27" spans="1:5">
      <c r="A27" s="238"/>
      <c r="B27" s="239"/>
      <c r="C27" s="240"/>
      <c r="D27" s="237"/>
    </row>
    <row r="28" spans="1:5">
      <c r="A28" s="238"/>
      <c r="B28" s="239"/>
      <c r="C28" s="240"/>
      <c r="D28" s="237"/>
    </row>
    <row r="29" spans="1:5">
      <c r="A29" s="238"/>
      <c r="B29" s="239"/>
      <c r="C29" s="240"/>
      <c r="D29" s="237"/>
    </row>
    <row r="30" spans="1:5">
      <c r="A30" s="238"/>
      <c r="B30" s="239"/>
      <c r="C30" s="240"/>
      <c r="D30" s="237"/>
    </row>
    <row r="31" spans="1:5">
      <c r="A31" s="238"/>
      <c r="B31" s="239"/>
      <c r="C31" s="240"/>
      <c r="D31" s="237"/>
    </row>
    <row r="32" spans="1:5">
      <c r="A32" s="238"/>
      <c r="B32" s="239"/>
      <c r="C32" s="240"/>
      <c r="D32" s="237"/>
    </row>
    <row r="33" spans="1:5">
      <c r="A33" s="238"/>
      <c r="B33" s="239"/>
      <c r="C33" s="240"/>
      <c r="D33" s="237"/>
    </row>
    <row r="34" spans="1:5">
      <c r="A34" s="124"/>
      <c r="B34" s="124"/>
      <c r="C34" s="124"/>
      <c r="D34" s="124"/>
    </row>
    <row r="35" spans="1:5">
      <c r="A35" s="441" t="s">
        <v>202</v>
      </c>
      <c r="B35" s="441"/>
      <c r="C35" s="441"/>
      <c r="D35" s="441"/>
    </row>
    <row r="36" spans="1:5">
      <c r="A36" s="442" t="s">
        <v>138</v>
      </c>
      <c r="B36" s="442"/>
      <c r="C36" s="442" t="s">
        <v>203</v>
      </c>
      <c r="D36" s="442"/>
    </row>
    <row r="37" spans="1:5">
      <c r="A37" s="439" t="s">
        <v>204</v>
      </c>
      <c r="B37" s="440"/>
      <c r="C37" s="439">
        <v>105.1</v>
      </c>
      <c r="D37" s="440"/>
      <c r="E37" s="21">
        <v>2018</v>
      </c>
    </row>
    <row r="38" spans="1:5">
      <c r="A38" s="443" t="s">
        <v>136</v>
      </c>
      <c r="B38" s="443"/>
      <c r="C38" s="444">
        <v>1.02</v>
      </c>
      <c r="D38" s="444"/>
    </row>
    <row r="39" spans="1:5" ht="26" customHeight="1">
      <c r="A39" s="435" t="s">
        <v>205</v>
      </c>
      <c r="B39" s="436"/>
      <c r="C39" s="437">
        <v>2</v>
      </c>
      <c r="D39" s="438"/>
    </row>
    <row r="40" spans="1:5">
      <c r="C40" s="36"/>
    </row>
  </sheetData>
  <mergeCells count="9">
    <mergeCell ref="A39:B39"/>
    <mergeCell ref="C39:D39"/>
    <mergeCell ref="A37:B37"/>
    <mergeCell ref="C37:D37"/>
    <mergeCell ref="A35:D35"/>
    <mergeCell ref="A36:B36"/>
    <mergeCell ref="C36:D36"/>
    <mergeCell ref="A38:B38"/>
    <mergeCell ref="C38:D38"/>
  </mergeCells>
  <pageMargins left="0.78740157480314965" right="0.78740157480314965" top="0.98425196850393704" bottom="0.98425196850393704" header="0.51181102362204722" footer="0.51181102362204722"/>
  <pageSetup paperSize="0" orientation="portrait" horizontalDpi="4294967292" verticalDpi="4294967292"/>
  <headerFooter alignWithMargins="0">
    <oddHeader>&amp;L&amp;"UB Frutiger UltraBlack,Normal"&amp;12CESSoC&amp;"L Frutiger Light,Normal", &amp;9association sans but lucratif
Numéro d’entreprise : 451 86 5986
&amp;C&amp;R</oddHeader>
    <oddFooter>&amp;L&amp;"Lucida Grande,Normal"&amp;12&amp;F&amp;RAuteur : D. Vanpeteghem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9"/>
  <sheetViews>
    <sheetView workbookViewId="0">
      <selection activeCell="A16" sqref="A16"/>
    </sheetView>
  </sheetViews>
  <sheetFormatPr baseColWidth="10" defaultColWidth="9.1640625" defaultRowHeight="16"/>
  <cols>
    <col min="1" max="1" width="22.33203125" style="150" customWidth="1"/>
    <col min="2" max="3" width="10.83203125" style="150" customWidth="1"/>
    <col min="4" max="4" width="12" style="150" bestFit="1" customWidth="1"/>
    <col min="5" max="16384" width="9.1640625" style="150"/>
  </cols>
  <sheetData>
    <row r="1" spans="1:5" ht="20">
      <c r="A1" s="148" t="s">
        <v>210</v>
      </c>
      <c r="B1" s="149"/>
      <c r="C1" s="149"/>
      <c r="D1" s="149"/>
      <c r="E1" s="149"/>
    </row>
    <row r="2" spans="1:5">
      <c r="A2" s="149"/>
      <c r="B2" s="149"/>
      <c r="C2" s="149"/>
      <c r="D2" s="149"/>
      <c r="E2" s="149"/>
    </row>
    <row r="5" spans="1:5" ht="34">
      <c r="A5" s="153" t="s">
        <v>211</v>
      </c>
      <c r="B5" s="154" t="s">
        <v>213</v>
      </c>
      <c r="C5" s="154" t="s">
        <v>214</v>
      </c>
      <c r="D5" s="154" t="s">
        <v>215</v>
      </c>
    </row>
    <row r="6" spans="1:5">
      <c r="A6" s="155"/>
      <c r="B6" s="157">
        <v>1440.67</v>
      </c>
      <c r="C6" s="157">
        <v>1459.86</v>
      </c>
      <c r="D6" s="157">
        <v>1473.61</v>
      </c>
    </row>
    <row r="7" spans="1:5">
      <c r="A7" s="156">
        <v>40452</v>
      </c>
      <c r="B7" s="158" t="s">
        <v>212</v>
      </c>
      <c r="C7" s="157">
        <f>ROUND(C6*$C$28,2)</f>
        <v>1489.06</v>
      </c>
      <c r="D7" s="157">
        <f>ROUND(D6*$C$28,2)</f>
        <v>1503.08</v>
      </c>
    </row>
    <row r="8" spans="1:5">
      <c r="A8" s="156">
        <v>40695</v>
      </c>
      <c r="B8" s="158" t="s">
        <v>212</v>
      </c>
      <c r="C8" s="158" t="s">
        <v>212</v>
      </c>
      <c r="D8" s="157">
        <f>ROUND(D7*$C$28,2)</f>
        <v>1533.14</v>
      </c>
    </row>
    <row r="9" spans="1:5">
      <c r="A9" s="156">
        <v>40969</v>
      </c>
      <c r="B9" s="158" t="s">
        <v>212</v>
      </c>
      <c r="C9" s="158" t="s">
        <v>212</v>
      </c>
      <c r="D9" s="157">
        <f>ROUND(D8*$C$28,2)</f>
        <v>1563.8</v>
      </c>
    </row>
    <row r="10" spans="1:5">
      <c r="A10" s="156">
        <v>41275</v>
      </c>
      <c r="B10" s="158" t="s">
        <v>212</v>
      </c>
      <c r="C10" s="158" t="s">
        <v>212</v>
      </c>
      <c r="D10" s="157">
        <f>ROUND(D9*$C$28,2)</f>
        <v>1595.08</v>
      </c>
    </row>
    <row r="11" spans="1:5">
      <c r="A11" s="156">
        <v>41640</v>
      </c>
      <c r="B11" s="158" t="s">
        <v>212</v>
      </c>
      <c r="C11" s="158" t="s">
        <v>212</v>
      </c>
      <c r="D11" s="157">
        <v>1595.08</v>
      </c>
    </row>
    <row r="12" spans="1:5">
      <c r="A12" s="156">
        <v>42005</v>
      </c>
      <c r="B12" s="158" t="s">
        <v>212</v>
      </c>
      <c r="C12" s="158" t="s">
        <v>212</v>
      </c>
      <c r="D12" s="157">
        <v>1595.08</v>
      </c>
    </row>
    <row r="13" spans="1:5">
      <c r="A13" s="156">
        <v>42370</v>
      </c>
      <c r="B13" s="158" t="s">
        <v>212</v>
      </c>
      <c r="C13" s="158" t="s">
        <v>212</v>
      </c>
      <c r="D13" s="157">
        <v>1595.08</v>
      </c>
    </row>
    <row r="14" spans="1:5">
      <c r="A14" s="156">
        <v>42552</v>
      </c>
      <c r="B14" s="158" t="s">
        <v>212</v>
      </c>
      <c r="C14" s="158" t="s">
        <v>212</v>
      </c>
      <c r="D14" s="157">
        <f>ROUND(D10*$C$28,2)</f>
        <v>1626.98</v>
      </c>
    </row>
    <row r="15" spans="1:5">
      <c r="A15" s="156">
        <v>42917</v>
      </c>
      <c r="B15" s="158" t="s">
        <v>212</v>
      </c>
      <c r="C15" s="158" t="s">
        <v>212</v>
      </c>
      <c r="D15" s="252">
        <f>ROUND(D14*$C$28,2)</f>
        <v>1659.52</v>
      </c>
      <c r="E15" s="241"/>
    </row>
    <row r="16" spans="1:5">
      <c r="A16" s="318">
        <v>43374</v>
      </c>
      <c r="B16" s="155"/>
      <c r="C16" s="155"/>
      <c r="D16" s="252">
        <f>ROUND(D15*$C$28,2)</f>
        <v>1692.71</v>
      </c>
      <c r="E16" s="155"/>
    </row>
    <row r="17" spans="1:5">
      <c r="A17" s="155"/>
      <c r="B17" s="155"/>
      <c r="C17" s="155"/>
      <c r="D17" s="233"/>
      <c r="E17" s="155"/>
    </row>
    <row r="18" spans="1:5">
      <c r="A18" s="234"/>
      <c r="B18" s="234"/>
      <c r="C18" s="234"/>
      <c r="D18" s="235"/>
    </row>
    <row r="19" spans="1:5">
      <c r="A19" s="234"/>
      <c r="B19" s="234"/>
      <c r="C19" s="234"/>
      <c r="D19" s="235"/>
    </row>
    <row r="20" spans="1:5">
      <c r="A20" s="234"/>
      <c r="B20" s="234"/>
      <c r="C20" s="234"/>
      <c r="D20" s="235"/>
    </row>
    <row r="21" spans="1:5">
      <c r="A21" s="234"/>
      <c r="B21" s="234"/>
      <c r="C21" s="234"/>
      <c r="D21" s="235"/>
    </row>
    <row r="22" spans="1:5">
      <c r="A22" s="234"/>
      <c r="B22" s="234"/>
      <c r="C22" s="234"/>
      <c r="D22" s="235"/>
    </row>
    <row r="24" spans="1:5" hidden="1"/>
    <row r="25" spans="1:5" ht="31" customHeight="1">
      <c r="A25" s="445" t="s">
        <v>216</v>
      </c>
      <c r="B25" s="445"/>
      <c r="C25" s="445"/>
      <c r="D25" s="445"/>
    </row>
    <row r="26" spans="1:5">
      <c r="A26" s="442" t="s">
        <v>138</v>
      </c>
      <c r="B26" s="442"/>
      <c r="C26" s="442" t="s">
        <v>203</v>
      </c>
      <c r="D26" s="442"/>
    </row>
    <row r="27" spans="1:5">
      <c r="A27" s="439" t="s">
        <v>204</v>
      </c>
      <c r="B27" s="440"/>
      <c r="C27" s="446">
        <f>'Indices pivot'!E21</f>
        <v>105.1</v>
      </c>
      <c r="D27" s="440"/>
    </row>
    <row r="28" spans="1:5">
      <c r="A28" s="443" t="s">
        <v>136</v>
      </c>
      <c r="B28" s="443"/>
      <c r="C28" s="444">
        <v>1.02</v>
      </c>
      <c r="D28" s="444"/>
    </row>
    <row r="29" spans="1:5" ht="29" customHeight="1">
      <c r="A29" s="435" t="s">
        <v>205</v>
      </c>
      <c r="B29" s="436"/>
      <c r="C29" s="437">
        <v>2</v>
      </c>
      <c r="D29" s="438"/>
    </row>
  </sheetData>
  <mergeCells count="9">
    <mergeCell ref="A29:B29"/>
    <mergeCell ref="C29:D29"/>
    <mergeCell ref="A25:D25"/>
    <mergeCell ref="A26:B26"/>
    <mergeCell ref="C26:D26"/>
    <mergeCell ref="A27:B27"/>
    <mergeCell ref="C27:D27"/>
    <mergeCell ref="A28:B28"/>
    <mergeCell ref="C28:D28"/>
  </mergeCells>
  <pageMargins left="0.75000000000000011" right="0.75000000000000011" top="1.6300000000000001" bottom="1.4305555555555556" header="0.43000000000000005" footer="0.5"/>
  <pageSetup paperSize="9" orientation="landscape" horizontalDpi="4294967292" verticalDpi="4294967292"/>
  <headerFooter alignWithMargins="0">
    <oddHeader>&amp;L&amp;"Calibri,Normal"&amp;K000000&amp;G</oddHeader>
    <oddFooter xml:space="preserve">&amp;L&amp;"HelveticaNeueLT Std Lt Cn,Normal"&amp;8&amp;K000000Rue Josaphat 33 • B-1210 Bruxelles
T +32 (0)2 512 03 58 • F +32 (0)2 511 19 99
E-m@il : info@cessoc.be
&amp;7N° d’entreprise : BE 451865986 &amp;"Times New Roman,Normal"&amp;10
</oddFoot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workbookViewId="0">
      <selection activeCell="A22" sqref="A22"/>
    </sheetView>
  </sheetViews>
  <sheetFormatPr baseColWidth="10" defaultRowHeight="13"/>
  <cols>
    <col min="1" max="1" width="25.6640625" customWidth="1"/>
    <col min="2" max="2" width="16.1640625" customWidth="1"/>
    <col min="8" max="8" width="35.6640625" customWidth="1"/>
    <col min="9" max="9" width="54" customWidth="1"/>
  </cols>
  <sheetData>
    <row r="1" spans="1:9" s="1" customFormat="1" ht="76" customHeight="1">
      <c r="A1" s="106" t="s">
        <v>149</v>
      </c>
      <c r="B1" s="106" t="s">
        <v>200</v>
      </c>
      <c r="C1" s="106" t="s">
        <v>198</v>
      </c>
      <c r="D1" s="106" t="s">
        <v>148</v>
      </c>
      <c r="E1" s="106" t="s">
        <v>147</v>
      </c>
      <c r="H1" s="231" t="s">
        <v>266</v>
      </c>
      <c r="I1" s="229" t="s">
        <v>267</v>
      </c>
    </row>
    <row r="2" spans="1:9" ht="14" thickBot="1">
      <c r="A2" s="103">
        <v>36251</v>
      </c>
      <c r="B2" s="107">
        <v>103.32</v>
      </c>
      <c r="C2" s="18">
        <v>103.14</v>
      </c>
      <c r="D2" s="18"/>
      <c r="E2" s="18"/>
      <c r="H2" s="230"/>
    </row>
    <row r="3" spans="1:9">
      <c r="A3" s="103">
        <v>36708</v>
      </c>
      <c r="B3" s="107">
        <v>105.35</v>
      </c>
      <c r="C3" s="18">
        <v>105.21</v>
      </c>
      <c r="D3" s="18"/>
      <c r="E3" s="18"/>
    </row>
    <row r="4" spans="1:9">
      <c r="A4" s="103">
        <v>37012</v>
      </c>
      <c r="B4" s="107">
        <v>107.59</v>
      </c>
      <c r="C4" s="18">
        <f>107.32</f>
        <v>107.32</v>
      </c>
      <c r="D4" s="18"/>
      <c r="E4" s="18"/>
    </row>
    <row r="5" spans="1:9">
      <c r="A5" s="103">
        <v>37288</v>
      </c>
      <c r="B5" s="107">
        <v>109.67</v>
      </c>
      <c r="C5" s="18">
        <v>109.46</v>
      </c>
      <c r="D5" s="18"/>
      <c r="E5" s="18"/>
    </row>
    <row r="6" spans="1:9">
      <c r="A6" s="103">
        <v>37742</v>
      </c>
      <c r="B6" s="107">
        <v>111.67</v>
      </c>
      <c r="C6" s="18">
        <f>ROUND(C5*1.02,2)</f>
        <v>111.65</v>
      </c>
      <c r="D6" s="18"/>
      <c r="E6" s="18"/>
    </row>
    <row r="7" spans="1:9">
      <c r="A7" s="103">
        <v>38231</v>
      </c>
      <c r="B7" s="107">
        <v>113.94</v>
      </c>
      <c r="C7" s="115">
        <f>ROUND(C6*1.02,2)</f>
        <v>113.88</v>
      </c>
      <c r="D7" s="18"/>
      <c r="E7" s="18"/>
    </row>
    <row r="8" spans="1:9">
      <c r="A8" s="103">
        <v>38534</v>
      </c>
      <c r="B8" s="107">
        <v>116.25</v>
      </c>
      <c r="C8" s="18">
        <f>ROUND(C7*1.02,2)</f>
        <v>116.16</v>
      </c>
      <c r="D8" s="102">
        <f>ROUND(C8*0.879,2)</f>
        <v>102.1</v>
      </c>
      <c r="E8" s="18"/>
    </row>
    <row r="9" spans="1:9">
      <c r="A9" s="447" t="s">
        <v>199</v>
      </c>
      <c r="B9" s="448"/>
      <c r="C9" s="448"/>
      <c r="D9" s="448"/>
      <c r="E9" s="449"/>
    </row>
    <row r="10" spans="1:9">
      <c r="A10" s="103">
        <v>38961</v>
      </c>
      <c r="B10" s="107">
        <v>104.23</v>
      </c>
      <c r="C10" s="228">
        <f>ROUND(D10*1.1377,2)</f>
        <v>118.48</v>
      </c>
      <c r="D10" s="18">
        <f>ROUND(D8*1.02,2)</f>
        <v>104.14</v>
      </c>
      <c r="E10" s="18"/>
    </row>
    <row r="11" spans="1:9">
      <c r="A11" s="103">
        <v>39417</v>
      </c>
      <c r="B11" s="107">
        <v>106.57</v>
      </c>
      <c r="C11" s="228">
        <f t="shared" ref="C11:C17" si="0">ROUND(D11*1.1377,2)</f>
        <v>120.85</v>
      </c>
      <c r="D11" s="18">
        <f t="shared" ref="D11:D17" si="1">ROUND(D10*1.02,2)</f>
        <v>106.22</v>
      </c>
      <c r="E11" s="18"/>
    </row>
    <row r="12" spans="1:9">
      <c r="A12" s="103">
        <v>39539</v>
      </c>
      <c r="B12" s="107">
        <v>108.84</v>
      </c>
      <c r="C12" s="228">
        <f t="shared" si="0"/>
        <v>123.26</v>
      </c>
      <c r="D12" s="18">
        <f t="shared" si="1"/>
        <v>108.34</v>
      </c>
      <c r="E12" s="18"/>
    </row>
    <row r="13" spans="1:9">
      <c r="A13" s="103">
        <v>39661</v>
      </c>
      <c r="B13" s="107">
        <v>110.73</v>
      </c>
      <c r="C13" s="228">
        <f t="shared" si="0"/>
        <v>125.73</v>
      </c>
      <c r="D13" s="18">
        <f t="shared" si="1"/>
        <v>110.51</v>
      </c>
      <c r="E13" s="18"/>
    </row>
    <row r="14" spans="1:9">
      <c r="A14" s="103">
        <v>40391</v>
      </c>
      <c r="B14" s="107">
        <v>112.82</v>
      </c>
      <c r="C14" s="228">
        <f t="shared" si="0"/>
        <v>128.24</v>
      </c>
      <c r="D14" s="18">
        <f t="shared" si="1"/>
        <v>112.72</v>
      </c>
      <c r="E14" s="18"/>
    </row>
    <row r="15" spans="1:9">
      <c r="A15" s="103">
        <v>40634</v>
      </c>
      <c r="B15" s="107">
        <v>115.1</v>
      </c>
      <c r="C15" s="228">
        <f t="shared" si="0"/>
        <v>130.80000000000001</v>
      </c>
      <c r="D15" s="18">
        <f t="shared" si="1"/>
        <v>114.97</v>
      </c>
      <c r="E15" s="18"/>
    </row>
    <row r="16" spans="1:9">
      <c r="A16" s="103">
        <v>40909</v>
      </c>
      <c r="B16" s="107">
        <v>117.53</v>
      </c>
      <c r="C16" s="228">
        <f t="shared" si="0"/>
        <v>133.41999999999999</v>
      </c>
      <c r="D16" s="18">
        <f t="shared" si="1"/>
        <v>117.27</v>
      </c>
      <c r="E16" s="18"/>
    </row>
    <row r="17" spans="1:5">
      <c r="A17" s="103">
        <v>41214</v>
      </c>
      <c r="B17" s="107">
        <v>119.7</v>
      </c>
      <c r="C17" s="228">
        <f t="shared" si="0"/>
        <v>136.09</v>
      </c>
      <c r="D17" s="18">
        <f t="shared" si="1"/>
        <v>119.62</v>
      </c>
      <c r="E17" s="18"/>
    </row>
    <row r="18" spans="1:5" ht="27" customHeight="1">
      <c r="A18" s="450" t="s">
        <v>265</v>
      </c>
      <c r="B18" s="451"/>
      <c r="C18" s="451"/>
      <c r="D18" s="451"/>
      <c r="E18" s="452"/>
    </row>
    <row r="19" spans="1:5">
      <c r="A19" s="108">
        <v>42491</v>
      </c>
      <c r="B19" s="109"/>
      <c r="C19" s="104"/>
      <c r="D19" s="104">
        <f>ROUND(D17*1.02,2)</f>
        <v>122.01</v>
      </c>
      <c r="E19" s="104">
        <f>ROUND(D19*0.828,2)</f>
        <v>101.02</v>
      </c>
    </row>
    <row r="20" spans="1:5" ht="14" thickBot="1">
      <c r="A20" s="108">
        <v>42856</v>
      </c>
      <c r="B20" s="109"/>
      <c r="C20" s="104"/>
      <c r="D20" s="104">
        <f>ROUND(D18*1.02,2)</f>
        <v>0</v>
      </c>
      <c r="E20" s="104">
        <f>ROUND(E19*1.02,2)</f>
        <v>103.04</v>
      </c>
    </row>
    <row r="21" spans="1:5" ht="14" thickBot="1">
      <c r="A21" s="112">
        <v>43313</v>
      </c>
      <c r="B21" s="113"/>
      <c r="C21" s="114"/>
      <c r="D21" s="114"/>
      <c r="E21" s="236">
        <f>ROUND(E20*1.02,2)</f>
        <v>105.1</v>
      </c>
    </row>
    <row r="22" spans="1:5">
      <c r="A22" s="18"/>
      <c r="B22" s="107"/>
      <c r="C22" s="18"/>
      <c r="D22" s="18"/>
      <c r="E22" s="102">
        <f>ROUND(E21*1.02,2)</f>
        <v>107.2</v>
      </c>
    </row>
    <row r="23" spans="1:5">
      <c r="A23" s="110"/>
      <c r="B23" s="111"/>
      <c r="C23" s="110"/>
      <c r="D23" s="110"/>
      <c r="E23" s="105">
        <f t="shared" ref="E23:E29" si="2">ROUND(E22*1.02,2)</f>
        <v>109.34</v>
      </c>
    </row>
    <row r="24" spans="1:5">
      <c r="A24" s="18"/>
      <c r="B24" s="107"/>
      <c r="C24" s="18"/>
      <c r="D24" s="18"/>
      <c r="E24" s="102">
        <f t="shared" si="2"/>
        <v>111.53</v>
      </c>
    </row>
    <row r="25" spans="1:5">
      <c r="A25" s="110"/>
      <c r="B25" s="111"/>
      <c r="C25" s="110"/>
      <c r="D25" s="110"/>
      <c r="E25" s="105">
        <f t="shared" si="2"/>
        <v>113.76</v>
      </c>
    </row>
    <row r="26" spans="1:5">
      <c r="A26" s="18"/>
      <c r="B26" s="107"/>
      <c r="C26" s="18"/>
      <c r="D26" s="18"/>
      <c r="E26" s="102">
        <f t="shared" si="2"/>
        <v>116.04</v>
      </c>
    </row>
    <row r="27" spans="1:5">
      <c r="A27" s="110"/>
      <c r="B27" s="111"/>
      <c r="C27" s="110"/>
      <c r="D27" s="110"/>
      <c r="E27" s="105">
        <f t="shared" si="2"/>
        <v>118.36</v>
      </c>
    </row>
    <row r="28" spans="1:5">
      <c r="A28" s="18"/>
      <c r="B28" s="107"/>
      <c r="C28" s="18"/>
      <c r="D28" s="18"/>
      <c r="E28" s="102">
        <f t="shared" si="2"/>
        <v>120.73</v>
      </c>
    </row>
    <row r="29" spans="1:5">
      <c r="A29" s="110"/>
      <c r="B29" s="111"/>
      <c r="C29" s="110"/>
      <c r="D29" s="110"/>
      <c r="E29" s="105">
        <f t="shared" si="2"/>
        <v>123.14</v>
      </c>
    </row>
  </sheetData>
  <mergeCells count="2">
    <mergeCell ref="A9:E9"/>
    <mergeCell ref="A18:E18"/>
  </mergeCells>
  <pageMargins left="0.78740157499999996" right="0.78740157499999996" top="0.984251969" bottom="0.984251969" header="0.3" footer="0.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459"/>
  <sheetViews>
    <sheetView topLeftCell="A409" zoomScaleNormal="100" zoomScaleSheetLayoutView="100" workbookViewId="0">
      <selection activeCell="P455" sqref="P455"/>
    </sheetView>
  </sheetViews>
  <sheetFormatPr baseColWidth="10" defaultColWidth="8.83203125" defaultRowHeight="13"/>
  <cols>
    <col min="1" max="1" width="1.5" style="167" customWidth="1"/>
    <col min="2" max="2" width="11.1640625" style="163" customWidth="1"/>
    <col min="3" max="3" width="3" style="163" customWidth="1"/>
    <col min="4" max="4" width="8.6640625" style="169" customWidth="1"/>
    <col min="5" max="7" width="8.6640625" style="163" customWidth="1"/>
    <col min="8" max="8" width="8.33203125" style="163" customWidth="1"/>
    <col min="9" max="9" width="4.6640625" style="163" customWidth="1"/>
    <col min="10" max="11" width="8.33203125" style="163" customWidth="1"/>
    <col min="12" max="12" width="11.83203125" style="163" customWidth="1"/>
    <col min="13" max="16" width="15" style="163" customWidth="1"/>
    <col min="17" max="17" width="9" style="163" bestFit="1" customWidth="1"/>
    <col min="18" max="16384" width="8.83203125" style="163"/>
  </cols>
  <sheetData>
    <row r="1" spans="1:13" s="165" customFormat="1" ht="60" customHeight="1">
      <c r="A1" s="163"/>
      <c r="B1" s="163"/>
      <c r="C1" s="163"/>
      <c r="D1" s="163"/>
      <c r="E1" s="163"/>
      <c r="F1" s="163"/>
      <c r="G1" s="163"/>
      <c r="H1" s="163"/>
      <c r="I1" s="163"/>
      <c r="J1" s="164"/>
    </row>
    <row r="2" spans="1:13" s="165" customFormat="1" ht="60" customHeight="1">
      <c r="A2" s="163"/>
      <c r="B2" s="163"/>
      <c r="C2" s="163"/>
      <c r="D2" s="163"/>
      <c r="E2" s="163"/>
      <c r="F2" s="163"/>
      <c r="G2" s="163"/>
      <c r="H2" s="163"/>
      <c r="I2" s="163"/>
      <c r="J2" s="164"/>
    </row>
    <row r="3" spans="1:13" ht="69.75" customHeight="1">
      <c r="A3" s="163"/>
      <c r="D3" s="163"/>
      <c r="J3" s="166"/>
    </row>
    <row r="4" spans="1:13" ht="20" customHeight="1">
      <c r="A4" s="163"/>
      <c r="D4" s="163"/>
      <c r="J4" s="166"/>
    </row>
    <row r="5" spans="1:13" ht="50" customHeight="1">
      <c r="A5" s="163"/>
      <c r="D5" s="163"/>
      <c r="J5" s="166"/>
    </row>
    <row r="6" spans="1:13" ht="45">
      <c r="A6" s="454" t="s">
        <v>244</v>
      </c>
      <c r="B6" s="454"/>
      <c r="C6" s="454"/>
      <c r="D6" s="454"/>
      <c r="E6" s="454"/>
      <c r="F6" s="454"/>
      <c r="G6" s="454"/>
      <c r="H6" s="454"/>
      <c r="I6" s="454"/>
      <c r="J6" s="454"/>
      <c r="K6" s="454"/>
      <c r="L6" s="454"/>
      <c r="M6" s="166"/>
    </row>
    <row r="7" spans="1:13" ht="21" customHeight="1">
      <c r="B7" s="168"/>
      <c r="C7" s="166"/>
      <c r="D7" s="166"/>
      <c r="E7" s="164"/>
      <c r="F7" s="164"/>
      <c r="G7" s="164"/>
      <c r="H7" s="164"/>
      <c r="I7" s="164"/>
      <c r="J7" s="164"/>
      <c r="K7" s="166"/>
      <c r="L7" s="166"/>
      <c r="M7" s="166"/>
    </row>
    <row r="8" spans="1:13" ht="36" customHeight="1">
      <c r="A8" s="455" t="s">
        <v>245</v>
      </c>
      <c r="B8" s="455"/>
      <c r="C8" s="455"/>
      <c r="D8" s="455"/>
      <c r="E8" s="455"/>
      <c r="F8" s="455"/>
      <c r="G8" s="455"/>
      <c r="H8" s="455"/>
      <c r="I8" s="455"/>
      <c r="J8" s="455"/>
      <c r="K8" s="455"/>
      <c r="L8" s="455"/>
      <c r="M8" s="166"/>
    </row>
    <row r="9" spans="1:13" ht="34.75" customHeight="1">
      <c r="A9" s="456" t="s">
        <v>246</v>
      </c>
      <c r="B9" s="456"/>
      <c r="C9" s="456"/>
      <c r="D9" s="456"/>
      <c r="E9" s="456"/>
      <c r="F9" s="456"/>
      <c r="G9" s="456"/>
      <c r="H9" s="456"/>
      <c r="I9" s="456"/>
      <c r="J9" s="456"/>
      <c r="K9" s="456"/>
      <c r="L9" s="456"/>
      <c r="M9" s="166"/>
    </row>
    <row r="10" spans="1:13" ht="49.75" customHeight="1">
      <c r="A10" s="454" t="s">
        <v>247</v>
      </c>
      <c r="B10" s="454"/>
      <c r="C10" s="454"/>
      <c r="D10" s="454"/>
      <c r="E10" s="454"/>
      <c r="F10" s="454"/>
      <c r="G10" s="454"/>
      <c r="H10" s="454"/>
      <c r="I10" s="454"/>
      <c r="J10" s="454"/>
      <c r="K10" s="454"/>
      <c r="L10" s="454"/>
      <c r="M10" s="166"/>
    </row>
    <row r="11" spans="1:13" ht="21" customHeight="1">
      <c r="B11" s="168"/>
      <c r="C11" s="166"/>
      <c r="D11" s="166"/>
      <c r="E11" s="166"/>
      <c r="F11" s="166"/>
      <c r="G11" s="166"/>
      <c r="H11" s="166"/>
      <c r="I11" s="166"/>
      <c r="J11" s="166"/>
      <c r="K11" s="166"/>
      <c r="L11" s="166"/>
      <c r="M11" s="166"/>
    </row>
    <row r="12" spans="1:13" ht="35.25" customHeight="1">
      <c r="A12" s="455" t="s">
        <v>248</v>
      </c>
      <c r="B12" s="455"/>
      <c r="C12" s="455"/>
      <c r="D12" s="455"/>
      <c r="E12" s="455"/>
      <c r="F12" s="455"/>
      <c r="G12" s="455"/>
      <c r="H12" s="455"/>
      <c r="I12" s="455"/>
      <c r="J12" s="455"/>
      <c r="K12" s="455"/>
      <c r="L12" s="455"/>
      <c r="M12" s="166"/>
    </row>
    <row r="13" spans="1:13">
      <c r="A13" s="453">
        <v>1994</v>
      </c>
      <c r="B13" s="453"/>
      <c r="G13" s="170"/>
      <c r="I13" s="170"/>
      <c r="K13" s="171"/>
    </row>
    <row r="14" spans="1:13">
      <c r="B14" s="172" t="s">
        <v>240</v>
      </c>
      <c r="C14" s="173"/>
      <c r="D14" s="174">
        <v>1988</v>
      </c>
      <c r="E14" s="175">
        <v>1996</v>
      </c>
      <c r="F14" s="175">
        <v>2004</v>
      </c>
      <c r="G14" s="176">
        <v>2013</v>
      </c>
      <c r="I14" s="170"/>
      <c r="K14" s="171"/>
    </row>
    <row r="15" spans="1:13">
      <c r="B15" s="177" t="s">
        <v>241</v>
      </c>
      <c r="C15" s="178">
        <v>1</v>
      </c>
      <c r="D15" s="179">
        <v>115.65</v>
      </c>
      <c r="E15" s="170">
        <f t="shared" ref="E15:E26" si="0">ROUND(D15*0.8294,2)</f>
        <v>95.92</v>
      </c>
      <c r="F15" s="170">
        <f t="shared" ref="F15:F26" si="1">ROUND($D15*0.729,2)</f>
        <v>84.31</v>
      </c>
      <c r="G15" s="170">
        <f t="shared" ref="G15:G25" si="2">D15*0.6036</f>
        <v>69.806340000000006</v>
      </c>
      <c r="I15" s="170"/>
      <c r="K15" s="171"/>
    </row>
    <row r="16" spans="1:13">
      <c r="C16" s="178">
        <v>2</v>
      </c>
      <c r="D16" s="179">
        <v>116</v>
      </c>
      <c r="E16" s="170">
        <f t="shared" si="0"/>
        <v>96.21</v>
      </c>
      <c r="F16" s="170">
        <f t="shared" si="1"/>
        <v>84.56</v>
      </c>
      <c r="G16" s="170">
        <f t="shared" si="2"/>
        <v>70.017600000000002</v>
      </c>
      <c r="I16" s="170"/>
      <c r="K16" s="171"/>
    </row>
    <row r="17" spans="1:11">
      <c r="C17" s="178">
        <v>3</v>
      </c>
      <c r="D17" s="179">
        <v>115.92</v>
      </c>
      <c r="E17" s="170">
        <f t="shared" si="0"/>
        <v>96.14</v>
      </c>
      <c r="F17" s="170">
        <f t="shared" si="1"/>
        <v>84.51</v>
      </c>
      <c r="G17" s="170">
        <f t="shared" si="2"/>
        <v>69.969312000000002</v>
      </c>
      <c r="I17" s="170"/>
      <c r="K17" s="171"/>
    </row>
    <row r="18" spans="1:11">
      <c r="C18" s="178">
        <v>4</v>
      </c>
      <c r="D18" s="179">
        <v>116.1</v>
      </c>
      <c r="E18" s="170">
        <f t="shared" si="0"/>
        <v>96.29</v>
      </c>
      <c r="F18" s="170">
        <f t="shared" si="1"/>
        <v>84.64</v>
      </c>
      <c r="G18" s="170">
        <f t="shared" si="2"/>
        <v>70.077960000000004</v>
      </c>
      <c r="I18" s="170"/>
      <c r="K18" s="171"/>
    </row>
    <row r="19" spans="1:11">
      <c r="C19" s="178">
        <v>5</v>
      </c>
      <c r="D19" s="179">
        <v>116.44</v>
      </c>
      <c r="E19" s="170">
        <f t="shared" si="0"/>
        <v>96.58</v>
      </c>
      <c r="F19" s="170">
        <f t="shared" si="1"/>
        <v>84.88</v>
      </c>
      <c r="G19" s="170">
        <f t="shared" si="2"/>
        <v>70.283184000000006</v>
      </c>
      <c r="I19" s="170"/>
      <c r="K19" s="171"/>
    </row>
    <row r="20" spans="1:11">
      <c r="C20" s="178">
        <v>6</v>
      </c>
      <c r="D20" s="179">
        <v>116.65</v>
      </c>
      <c r="E20" s="170">
        <f t="shared" si="0"/>
        <v>96.75</v>
      </c>
      <c r="F20" s="170">
        <f t="shared" si="1"/>
        <v>85.04</v>
      </c>
      <c r="G20" s="170">
        <f t="shared" si="2"/>
        <v>70.409940000000006</v>
      </c>
    </row>
    <row r="21" spans="1:11">
      <c r="C21" s="178">
        <v>7</v>
      </c>
      <c r="D21" s="179">
        <v>117.45</v>
      </c>
      <c r="E21" s="170">
        <f t="shared" si="0"/>
        <v>97.41</v>
      </c>
      <c r="F21" s="170">
        <f t="shared" si="1"/>
        <v>85.62</v>
      </c>
      <c r="G21" s="170">
        <f t="shared" si="2"/>
        <v>70.89282</v>
      </c>
    </row>
    <row r="22" spans="1:11">
      <c r="C22" s="178">
        <v>8</v>
      </c>
      <c r="D22" s="179">
        <v>117.58</v>
      </c>
      <c r="E22" s="170">
        <f t="shared" si="0"/>
        <v>97.52</v>
      </c>
      <c r="F22" s="170">
        <f t="shared" si="1"/>
        <v>85.72</v>
      </c>
      <c r="G22" s="170">
        <f t="shared" si="2"/>
        <v>70.971288000000001</v>
      </c>
    </row>
    <row r="23" spans="1:11">
      <c r="C23" s="178">
        <v>9</v>
      </c>
      <c r="D23" s="179">
        <v>117.43</v>
      </c>
      <c r="E23" s="170">
        <f t="shared" si="0"/>
        <v>97.4</v>
      </c>
      <c r="F23" s="170">
        <f t="shared" si="1"/>
        <v>85.61</v>
      </c>
      <c r="G23" s="170">
        <f t="shared" si="2"/>
        <v>70.880748000000011</v>
      </c>
    </row>
    <row r="24" spans="1:11">
      <c r="C24" s="178">
        <v>10</v>
      </c>
      <c r="D24" s="179">
        <v>117.24</v>
      </c>
      <c r="E24" s="170">
        <f t="shared" si="0"/>
        <v>97.24</v>
      </c>
      <c r="F24" s="170">
        <f t="shared" si="1"/>
        <v>85.47</v>
      </c>
      <c r="G24" s="170">
        <f t="shared" si="2"/>
        <v>70.766064</v>
      </c>
    </row>
    <row r="25" spans="1:11">
      <c r="C25" s="178">
        <v>11</v>
      </c>
      <c r="D25" s="179">
        <v>117.25</v>
      </c>
      <c r="E25" s="170">
        <f t="shared" si="0"/>
        <v>97.25</v>
      </c>
      <c r="F25" s="170">
        <f t="shared" si="1"/>
        <v>85.48</v>
      </c>
      <c r="G25" s="170">
        <f t="shared" si="2"/>
        <v>70.772100000000009</v>
      </c>
    </row>
    <row r="26" spans="1:11">
      <c r="C26" s="178">
        <v>12</v>
      </c>
      <c r="D26" s="179">
        <v>117.29</v>
      </c>
      <c r="E26" s="170">
        <f t="shared" si="0"/>
        <v>97.28</v>
      </c>
      <c r="F26" s="170">
        <f t="shared" si="1"/>
        <v>85.5</v>
      </c>
      <c r="G26" s="170">
        <f>D26*0.6036</f>
        <v>70.796244000000002</v>
      </c>
    </row>
    <row r="27" spans="1:11">
      <c r="A27" s="180"/>
      <c r="B27" s="163" t="s">
        <v>242</v>
      </c>
      <c r="D27" s="181">
        <f>AVERAGE(D15:D26)</f>
        <v>116.75</v>
      </c>
      <c r="E27" s="181">
        <f>AVERAGE(E15:E26)</f>
        <v>96.832499999999996</v>
      </c>
      <c r="F27" s="181">
        <f>AVERAGE(F15:F26)</f>
        <v>85.111666666666665</v>
      </c>
      <c r="G27" s="181">
        <f>AVERAGE(G15:G26)</f>
        <v>70.470300000000009</v>
      </c>
    </row>
    <row r="28" spans="1:11">
      <c r="D28" s="182"/>
      <c r="E28" s="182"/>
      <c r="F28" s="182"/>
      <c r="G28" s="182"/>
    </row>
    <row r="29" spans="1:11">
      <c r="D29" s="182"/>
      <c r="E29" s="182"/>
      <c r="F29" s="182"/>
      <c r="G29" s="182"/>
    </row>
    <row r="31" spans="1:11">
      <c r="A31" s="453">
        <v>1995</v>
      </c>
      <c r="B31" s="453"/>
    </row>
    <row r="32" spans="1:11">
      <c r="B32" s="172" t="s">
        <v>240</v>
      </c>
      <c r="D32" s="174">
        <v>1988</v>
      </c>
      <c r="E32" s="175">
        <v>1996</v>
      </c>
      <c r="F32" s="175">
        <v>2004</v>
      </c>
      <c r="G32" s="176">
        <v>2013</v>
      </c>
    </row>
    <row r="33" spans="1:7">
      <c r="B33" s="177" t="s">
        <v>241</v>
      </c>
      <c r="C33" s="178">
        <v>1</v>
      </c>
      <c r="D33" s="179">
        <v>117.83</v>
      </c>
      <c r="E33" s="170">
        <f t="shared" ref="E33:E44" si="3">ROUND(D33*0.8294,2)</f>
        <v>97.73</v>
      </c>
      <c r="F33" s="170">
        <f t="shared" ref="F33:F44" si="4">ROUND($D33*0.729,2)</f>
        <v>85.9</v>
      </c>
      <c r="G33" s="170">
        <f t="shared" ref="G33:G43" si="5">D33*0.6036</f>
        <v>71.122188000000008</v>
      </c>
    </row>
    <row r="34" spans="1:7">
      <c r="C34" s="178">
        <v>2</v>
      </c>
      <c r="D34" s="179">
        <v>118.22</v>
      </c>
      <c r="E34" s="170">
        <f t="shared" si="3"/>
        <v>98.05</v>
      </c>
      <c r="F34" s="170">
        <f t="shared" si="4"/>
        <v>86.18</v>
      </c>
      <c r="G34" s="170">
        <f t="shared" si="5"/>
        <v>71.357591999999997</v>
      </c>
    </row>
    <row r="35" spans="1:7">
      <c r="C35" s="178">
        <v>3</v>
      </c>
      <c r="D35" s="179">
        <v>118.11</v>
      </c>
      <c r="E35" s="170">
        <f t="shared" si="3"/>
        <v>97.96</v>
      </c>
      <c r="F35" s="170">
        <f t="shared" si="4"/>
        <v>86.1</v>
      </c>
      <c r="G35" s="170">
        <f t="shared" si="5"/>
        <v>71.291195999999999</v>
      </c>
    </row>
    <row r="36" spans="1:7">
      <c r="C36" s="178">
        <v>4</v>
      </c>
      <c r="D36" s="179">
        <v>118.23</v>
      </c>
      <c r="E36" s="170">
        <f t="shared" si="3"/>
        <v>98.06</v>
      </c>
      <c r="F36" s="170">
        <f t="shared" si="4"/>
        <v>86.19</v>
      </c>
      <c r="G36" s="170">
        <f t="shared" si="5"/>
        <v>71.363628000000006</v>
      </c>
    </row>
    <row r="37" spans="1:7">
      <c r="C37" s="178">
        <v>5</v>
      </c>
      <c r="D37" s="179">
        <v>118.15</v>
      </c>
      <c r="E37" s="170">
        <f t="shared" si="3"/>
        <v>97.99</v>
      </c>
      <c r="F37" s="170">
        <f t="shared" si="4"/>
        <v>86.13</v>
      </c>
      <c r="G37" s="170">
        <f t="shared" si="5"/>
        <v>71.315340000000006</v>
      </c>
    </row>
    <row r="38" spans="1:7">
      <c r="C38" s="178">
        <v>6</v>
      </c>
      <c r="D38" s="183">
        <v>118.23</v>
      </c>
      <c r="E38" s="170">
        <f t="shared" si="3"/>
        <v>98.06</v>
      </c>
      <c r="F38" s="170">
        <f t="shared" si="4"/>
        <v>86.19</v>
      </c>
      <c r="G38" s="170">
        <f t="shared" si="5"/>
        <v>71.363628000000006</v>
      </c>
    </row>
    <row r="39" spans="1:7">
      <c r="C39" s="178">
        <v>7</v>
      </c>
      <c r="D39" s="183">
        <v>119.03</v>
      </c>
      <c r="E39" s="170">
        <f t="shared" si="3"/>
        <v>98.72</v>
      </c>
      <c r="F39" s="170">
        <f t="shared" si="4"/>
        <v>86.77</v>
      </c>
      <c r="G39" s="170">
        <f t="shared" si="5"/>
        <v>71.846508</v>
      </c>
    </row>
    <row r="40" spans="1:7">
      <c r="C40" s="178">
        <v>8</v>
      </c>
      <c r="D40" s="179">
        <v>119.38</v>
      </c>
      <c r="E40" s="170">
        <f t="shared" si="3"/>
        <v>99.01</v>
      </c>
      <c r="F40" s="170">
        <f t="shared" si="4"/>
        <v>87.03</v>
      </c>
      <c r="G40" s="170">
        <f t="shared" si="5"/>
        <v>72.057767999999996</v>
      </c>
    </row>
    <row r="41" spans="1:7">
      <c r="C41" s="178">
        <v>9</v>
      </c>
      <c r="D41" s="179">
        <v>118.97</v>
      </c>
      <c r="E41" s="170">
        <f t="shared" si="3"/>
        <v>98.67</v>
      </c>
      <c r="F41" s="170">
        <f t="shared" si="4"/>
        <v>86.73</v>
      </c>
      <c r="G41" s="170">
        <f t="shared" si="5"/>
        <v>71.810292000000004</v>
      </c>
    </row>
    <row r="42" spans="1:7">
      <c r="C42" s="178">
        <v>10</v>
      </c>
      <c r="D42" s="179">
        <v>118.78</v>
      </c>
      <c r="E42" s="170">
        <f t="shared" si="3"/>
        <v>98.52</v>
      </c>
      <c r="F42" s="170">
        <f t="shared" si="4"/>
        <v>86.59</v>
      </c>
      <c r="G42" s="170">
        <f t="shared" si="5"/>
        <v>71.695608000000007</v>
      </c>
    </row>
    <row r="43" spans="1:7">
      <c r="C43" s="178">
        <v>11</v>
      </c>
      <c r="D43" s="179">
        <v>118.97</v>
      </c>
      <c r="E43" s="170">
        <f t="shared" si="3"/>
        <v>98.67</v>
      </c>
      <c r="F43" s="170">
        <f t="shared" si="4"/>
        <v>86.73</v>
      </c>
      <c r="G43" s="170">
        <f t="shared" si="5"/>
        <v>71.810292000000004</v>
      </c>
    </row>
    <row r="44" spans="1:7">
      <c r="C44" s="178">
        <v>12</v>
      </c>
      <c r="D44" s="179">
        <v>118.94</v>
      </c>
      <c r="E44" s="170">
        <f t="shared" si="3"/>
        <v>98.65</v>
      </c>
      <c r="F44" s="170">
        <f t="shared" si="4"/>
        <v>86.71</v>
      </c>
      <c r="G44" s="170">
        <f>D44*0.6036</f>
        <v>71.792184000000006</v>
      </c>
    </row>
    <row r="45" spans="1:7">
      <c r="A45" s="180"/>
      <c r="B45" s="163" t="s">
        <v>242</v>
      </c>
      <c r="D45" s="181">
        <f>AVERAGE(D33:D44)</f>
        <v>118.57000000000001</v>
      </c>
      <c r="E45" s="181">
        <f>AVERAGE(E33:E44)</f>
        <v>98.34083333333335</v>
      </c>
      <c r="F45" s="181">
        <f>AVERAGE(F33:F44)</f>
        <v>86.4375</v>
      </c>
      <c r="G45" s="181">
        <f>AVERAGE(G33:G44)</f>
        <v>71.568852000000007</v>
      </c>
    </row>
    <row r="46" spans="1:7">
      <c r="D46" s="182"/>
      <c r="E46" s="182"/>
      <c r="F46" s="182"/>
      <c r="G46" s="182"/>
    </row>
    <row r="47" spans="1:7">
      <c r="D47" s="182"/>
      <c r="E47" s="182"/>
      <c r="F47" s="182"/>
      <c r="G47" s="182"/>
    </row>
    <row r="49" spans="1:7">
      <c r="A49" s="453">
        <v>1996</v>
      </c>
      <c r="B49" s="453"/>
    </row>
    <row r="50" spans="1:7">
      <c r="B50" s="172" t="s">
        <v>240</v>
      </c>
      <c r="D50" s="174">
        <v>1988</v>
      </c>
      <c r="E50" s="175">
        <v>1996</v>
      </c>
      <c r="F50" s="175">
        <v>2004</v>
      </c>
      <c r="G50" s="176">
        <v>2013</v>
      </c>
    </row>
    <row r="51" spans="1:7">
      <c r="B51" s="177" t="s">
        <v>241</v>
      </c>
      <c r="C51" s="178">
        <v>1</v>
      </c>
      <c r="D51" s="179">
        <v>119.86</v>
      </c>
      <c r="E51" s="170">
        <f t="shared" ref="E51:E62" si="6">ROUND(D51*0.8294,2)</f>
        <v>99.41</v>
      </c>
      <c r="F51" s="170">
        <f t="shared" ref="F51:F62" si="7">ROUND($D51*0.729,2)</f>
        <v>87.38</v>
      </c>
      <c r="G51" s="170">
        <f t="shared" ref="G51:G61" si="8">D51*0.6036</f>
        <v>72.347496000000007</v>
      </c>
    </row>
    <row r="52" spans="1:7">
      <c r="C52" s="178">
        <v>2</v>
      </c>
      <c r="D52" s="179">
        <v>120.09</v>
      </c>
      <c r="E52" s="170">
        <f t="shared" si="6"/>
        <v>99.6</v>
      </c>
      <c r="F52" s="170">
        <f t="shared" si="7"/>
        <v>87.55</v>
      </c>
      <c r="G52" s="170">
        <f t="shared" si="8"/>
        <v>72.48632400000001</v>
      </c>
    </row>
    <row r="53" spans="1:7">
      <c r="C53" s="178">
        <v>3</v>
      </c>
      <c r="D53" s="179">
        <v>120.13</v>
      </c>
      <c r="E53" s="170">
        <f t="shared" si="6"/>
        <v>99.64</v>
      </c>
      <c r="F53" s="170">
        <f t="shared" si="7"/>
        <v>87.57</v>
      </c>
      <c r="G53" s="170">
        <f t="shared" si="8"/>
        <v>72.510468000000003</v>
      </c>
    </row>
    <row r="54" spans="1:7">
      <c r="C54" s="178">
        <v>4</v>
      </c>
      <c r="D54" s="179">
        <v>120.15</v>
      </c>
      <c r="E54" s="170">
        <f t="shared" si="6"/>
        <v>99.65</v>
      </c>
      <c r="F54" s="170">
        <f t="shared" si="7"/>
        <v>87.59</v>
      </c>
      <c r="G54" s="170">
        <f t="shared" si="8"/>
        <v>72.522540000000006</v>
      </c>
    </row>
    <row r="55" spans="1:7">
      <c r="C55" s="178">
        <v>5</v>
      </c>
      <c r="D55" s="179">
        <v>119.9</v>
      </c>
      <c r="E55" s="170">
        <f t="shared" si="6"/>
        <v>99.45</v>
      </c>
      <c r="F55" s="170">
        <f t="shared" si="7"/>
        <v>87.41</v>
      </c>
      <c r="G55" s="170">
        <f t="shared" si="8"/>
        <v>72.371640000000014</v>
      </c>
    </row>
    <row r="56" spans="1:7">
      <c r="C56" s="178">
        <v>6</v>
      </c>
      <c r="D56" s="183">
        <v>120</v>
      </c>
      <c r="E56" s="170">
        <f t="shared" si="6"/>
        <v>99.53</v>
      </c>
      <c r="F56" s="170">
        <f t="shared" si="7"/>
        <v>87.48</v>
      </c>
      <c r="G56" s="170">
        <f t="shared" si="8"/>
        <v>72.432000000000002</v>
      </c>
    </row>
    <row r="57" spans="1:7">
      <c r="C57" s="178">
        <v>7</v>
      </c>
      <c r="D57" s="183">
        <v>120.84</v>
      </c>
      <c r="E57" s="170">
        <f t="shared" si="6"/>
        <v>100.22</v>
      </c>
      <c r="F57" s="170">
        <f t="shared" si="7"/>
        <v>88.09</v>
      </c>
      <c r="G57" s="170">
        <f t="shared" si="8"/>
        <v>72.939024000000003</v>
      </c>
    </row>
    <row r="58" spans="1:7">
      <c r="C58" s="178">
        <v>8</v>
      </c>
      <c r="D58" s="183">
        <v>121.17</v>
      </c>
      <c r="E58" s="170">
        <f t="shared" si="6"/>
        <v>100.5</v>
      </c>
      <c r="F58" s="170">
        <f t="shared" si="7"/>
        <v>88.33</v>
      </c>
      <c r="G58" s="170">
        <f t="shared" si="8"/>
        <v>73.13821200000001</v>
      </c>
    </row>
    <row r="59" spans="1:7">
      <c r="C59" s="178">
        <v>9</v>
      </c>
      <c r="D59" s="179">
        <v>120.81</v>
      </c>
      <c r="E59" s="170">
        <f t="shared" si="6"/>
        <v>100.2</v>
      </c>
      <c r="F59" s="170">
        <f t="shared" si="7"/>
        <v>88.07</v>
      </c>
      <c r="G59" s="170">
        <f t="shared" si="8"/>
        <v>72.920916000000005</v>
      </c>
    </row>
    <row r="60" spans="1:7">
      <c r="C60" s="178">
        <v>10</v>
      </c>
      <c r="D60" s="179">
        <v>121</v>
      </c>
      <c r="E60" s="170">
        <f t="shared" si="6"/>
        <v>100.36</v>
      </c>
      <c r="F60" s="170">
        <f t="shared" si="7"/>
        <v>88.21</v>
      </c>
      <c r="G60" s="170">
        <f t="shared" si="8"/>
        <v>73.035600000000002</v>
      </c>
    </row>
    <row r="61" spans="1:7">
      <c r="C61" s="178">
        <v>11</v>
      </c>
      <c r="D61" s="179">
        <v>121.12</v>
      </c>
      <c r="E61" s="170">
        <f t="shared" si="6"/>
        <v>100.46</v>
      </c>
      <c r="F61" s="170">
        <f t="shared" si="7"/>
        <v>88.3</v>
      </c>
      <c r="G61" s="170">
        <f t="shared" si="8"/>
        <v>73.108032000000009</v>
      </c>
    </row>
    <row r="62" spans="1:7">
      <c r="C62" s="178">
        <v>12</v>
      </c>
      <c r="D62" s="179">
        <v>121.29</v>
      </c>
      <c r="E62" s="170">
        <f t="shared" si="6"/>
        <v>100.6</v>
      </c>
      <c r="F62" s="170">
        <f t="shared" si="7"/>
        <v>88.42</v>
      </c>
      <c r="G62" s="170">
        <f>D62*0.6036</f>
        <v>73.210644000000002</v>
      </c>
    </row>
    <row r="63" spans="1:7">
      <c r="A63" s="180"/>
      <c r="B63" s="163" t="s">
        <v>242</v>
      </c>
      <c r="D63" s="181">
        <f>AVERAGE(D51:D62)</f>
        <v>120.53000000000002</v>
      </c>
      <c r="E63" s="181">
        <f>AVERAGE(E51:E62)</f>
        <v>99.96833333333332</v>
      </c>
      <c r="F63" s="181">
        <f>AVERAGE(F51:F62)</f>
        <v>87.866666666666674</v>
      </c>
      <c r="G63" s="181">
        <f>AVERAGE(G51:G62)</f>
        <v>72.751908000000014</v>
      </c>
    </row>
    <row r="64" spans="1:7">
      <c r="D64" s="182"/>
      <c r="E64" s="182"/>
      <c r="F64" s="182"/>
      <c r="G64" s="182"/>
    </row>
    <row r="65" spans="1:7">
      <c r="D65" s="182"/>
      <c r="E65" s="182"/>
      <c r="F65" s="182"/>
      <c r="G65" s="182"/>
    </row>
    <row r="67" spans="1:7">
      <c r="A67" s="453">
        <v>1997</v>
      </c>
      <c r="B67" s="453"/>
    </row>
    <row r="68" spans="1:7">
      <c r="B68" s="172" t="s">
        <v>240</v>
      </c>
      <c r="D68" s="174">
        <v>1988</v>
      </c>
      <c r="E68" s="175">
        <v>1996</v>
      </c>
      <c r="F68" s="175">
        <v>2004</v>
      </c>
      <c r="G68" s="176">
        <v>2013</v>
      </c>
    </row>
    <row r="69" spans="1:7">
      <c r="B69" s="177" t="s">
        <v>241</v>
      </c>
      <c r="C69" s="178">
        <v>1</v>
      </c>
      <c r="D69" s="179">
        <v>122.09</v>
      </c>
      <c r="E69" s="170">
        <f t="shared" ref="E69:E80" si="9">ROUND(D69*0.8294,2)</f>
        <v>101.26</v>
      </c>
      <c r="F69" s="170">
        <f t="shared" ref="F69:F80" si="10">ROUND($D69*0.729,2)</f>
        <v>89</v>
      </c>
      <c r="G69" s="170">
        <f t="shared" ref="G69:G79" si="11">D69*0.6036</f>
        <v>73.693524000000011</v>
      </c>
    </row>
    <row r="70" spans="1:7">
      <c r="C70" s="178">
        <v>2</v>
      </c>
      <c r="D70" s="179">
        <v>121.88</v>
      </c>
      <c r="E70" s="170">
        <f t="shared" si="9"/>
        <v>101.09</v>
      </c>
      <c r="F70" s="170">
        <f t="shared" si="10"/>
        <v>88.85</v>
      </c>
      <c r="G70" s="170">
        <f t="shared" si="11"/>
        <v>73.566767999999996</v>
      </c>
    </row>
    <row r="71" spans="1:7">
      <c r="C71" s="178">
        <v>3</v>
      </c>
      <c r="D71" s="179">
        <v>121.31</v>
      </c>
      <c r="E71" s="170">
        <f t="shared" si="9"/>
        <v>100.61</v>
      </c>
      <c r="F71" s="170">
        <f t="shared" si="10"/>
        <v>88.43</v>
      </c>
      <c r="G71" s="170">
        <f t="shared" si="11"/>
        <v>73.222716000000005</v>
      </c>
    </row>
    <row r="72" spans="1:7">
      <c r="C72" s="178">
        <v>4</v>
      </c>
      <c r="D72" s="179">
        <v>121.33</v>
      </c>
      <c r="E72" s="170">
        <f t="shared" si="9"/>
        <v>100.63</v>
      </c>
      <c r="F72" s="170">
        <f t="shared" si="10"/>
        <v>88.45</v>
      </c>
      <c r="G72" s="170">
        <f t="shared" si="11"/>
        <v>73.234788000000009</v>
      </c>
    </row>
    <row r="73" spans="1:7">
      <c r="C73" s="178">
        <v>5</v>
      </c>
      <c r="D73" s="179">
        <v>121.45</v>
      </c>
      <c r="E73" s="170">
        <f t="shared" si="9"/>
        <v>100.73</v>
      </c>
      <c r="F73" s="170">
        <f t="shared" si="10"/>
        <v>88.54</v>
      </c>
      <c r="G73" s="170">
        <f t="shared" si="11"/>
        <v>73.307220000000001</v>
      </c>
    </row>
    <row r="74" spans="1:7">
      <c r="C74" s="178">
        <v>6</v>
      </c>
      <c r="D74" s="183">
        <v>121.67</v>
      </c>
      <c r="E74" s="170">
        <f t="shared" si="9"/>
        <v>100.91</v>
      </c>
      <c r="F74" s="170">
        <f t="shared" si="10"/>
        <v>88.7</v>
      </c>
      <c r="G74" s="170">
        <f t="shared" si="11"/>
        <v>73.44001200000001</v>
      </c>
    </row>
    <row r="75" spans="1:7">
      <c r="C75" s="178">
        <v>7</v>
      </c>
      <c r="D75" s="183">
        <v>122.78</v>
      </c>
      <c r="E75" s="170">
        <f t="shared" si="9"/>
        <v>101.83</v>
      </c>
      <c r="F75" s="170">
        <f t="shared" si="10"/>
        <v>89.51</v>
      </c>
      <c r="G75" s="170">
        <f t="shared" si="11"/>
        <v>74.110008000000008</v>
      </c>
    </row>
    <row r="76" spans="1:7">
      <c r="C76" s="178">
        <v>8</v>
      </c>
      <c r="D76" s="183">
        <v>122.84</v>
      </c>
      <c r="E76" s="170">
        <f t="shared" si="9"/>
        <v>101.88</v>
      </c>
      <c r="F76" s="170">
        <f t="shared" si="10"/>
        <v>89.55</v>
      </c>
      <c r="G76" s="170">
        <f t="shared" si="11"/>
        <v>74.146224000000004</v>
      </c>
    </row>
    <row r="77" spans="1:7">
      <c r="C77" s="178">
        <v>9</v>
      </c>
      <c r="D77" s="179">
        <v>122.34</v>
      </c>
      <c r="E77" s="170">
        <f t="shared" si="9"/>
        <v>101.47</v>
      </c>
      <c r="F77" s="170">
        <f t="shared" si="10"/>
        <v>89.19</v>
      </c>
      <c r="G77" s="170">
        <f t="shared" si="11"/>
        <v>73.844424000000004</v>
      </c>
    </row>
    <row r="78" spans="1:7">
      <c r="C78" s="178">
        <v>10</v>
      </c>
      <c r="D78" s="179">
        <v>122.37</v>
      </c>
      <c r="E78" s="170">
        <f t="shared" si="9"/>
        <v>101.49</v>
      </c>
      <c r="F78" s="170">
        <f t="shared" si="10"/>
        <v>89.21</v>
      </c>
      <c r="G78" s="170">
        <f t="shared" si="11"/>
        <v>73.862532000000002</v>
      </c>
    </row>
    <row r="79" spans="1:7">
      <c r="C79" s="178">
        <v>11</v>
      </c>
      <c r="D79" s="179">
        <v>122.72</v>
      </c>
      <c r="E79" s="170">
        <f t="shared" si="9"/>
        <v>101.78</v>
      </c>
      <c r="F79" s="170">
        <f t="shared" si="10"/>
        <v>89.46</v>
      </c>
      <c r="G79" s="170">
        <f t="shared" si="11"/>
        <v>74.073791999999997</v>
      </c>
    </row>
    <row r="80" spans="1:7">
      <c r="C80" s="178">
        <v>12</v>
      </c>
      <c r="D80" s="179">
        <v>122.68</v>
      </c>
      <c r="E80" s="170">
        <f t="shared" si="9"/>
        <v>101.75</v>
      </c>
      <c r="F80" s="170">
        <f t="shared" si="10"/>
        <v>89.43</v>
      </c>
      <c r="G80" s="170">
        <f>D80*0.6036</f>
        <v>74.049648000000005</v>
      </c>
    </row>
    <row r="81" spans="1:7">
      <c r="A81" s="180"/>
      <c r="B81" s="163" t="s">
        <v>242</v>
      </c>
      <c r="D81" s="181">
        <f>AVERAGE(D69:D80)</f>
        <v>122.12166666666667</v>
      </c>
      <c r="E81" s="181">
        <f>AVERAGE(E69:E80)</f>
        <v>101.28583333333334</v>
      </c>
      <c r="F81" s="181">
        <f>AVERAGE(F69:F80)</f>
        <v>89.026666666666685</v>
      </c>
      <c r="G81" s="181">
        <f>AVERAGE(G69:G80)</f>
        <v>73.712638000000013</v>
      </c>
    </row>
    <row r="85" spans="1:7">
      <c r="A85" s="453">
        <v>1998</v>
      </c>
      <c r="B85" s="453"/>
    </row>
    <row r="86" spans="1:7">
      <c r="B86" s="172" t="s">
        <v>240</v>
      </c>
      <c r="D86" s="174">
        <v>1988</v>
      </c>
      <c r="E86" s="175">
        <v>1996</v>
      </c>
      <c r="F86" s="175">
        <v>2004</v>
      </c>
      <c r="G86" s="176">
        <v>2013</v>
      </c>
    </row>
    <row r="87" spans="1:7">
      <c r="B87" s="177" t="s">
        <v>241</v>
      </c>
      <c r="C87" s="178">
        <v>1</v>
      </c>
      <c r="D87" s="184">
        <f t="shared" ref="D87:D98" si="12">ROUND(E87*1.2057,2)</f>
        <v>122.78</v>
      </c>
      <c r="E87" s="171">
        <v>101.83</v>
      </c>
      <c r="F87" s="170">
        <f t="shared" ref="F87:F98" si="13">ROUND($E87*0.879,2)</f>
        <v>89.51</v>
      </c>
      <c r="G87" s="170">
        <f t="shared" ref="G87:G97" si="14">E87*0.7278</f>
        <v>74.111874</v>
      </c>
    </row>
    <row r="88" spans="1:7">
      <c r="C88" s="178">
        <v>2</v>
      </c>
      <c r="D88" s="184">
        <f t="shared" si="12"/>
        <v>123.08</v>
      </c>
      <c r="E88" s="171">
        <v>102.08</v>
      </c>
      <c r="F88" s="170">
        <f t="shared" si="13"/>
        <v>89.73</v>
      </c>
      <c r="G88" s="170">
        <f t="shared" si="14"/>
        <v>74.293824000000001</v>
      </c>
    </row>
    <row r="89" spans="1:7">
      <c r="C89" s="178">
        <v>3</v>
      </c>
      <c r="D89" s="184">
        <f t="shared" si="12"/>
        <v>122.92</v>
      </c>
      <c r="E89" s="171">
        <v>101.95</v>
      </c>
      <c r="F89" s="170">
        <f t="shared" si="13"/>
        <v>89.61</v>
      </c>
      <c r="G89" s="170">
        <f t="shared" si="14"/>
        <v>74.199210000000008</v>
      </c>
    </row>
    <row r="90" spans="1:7">
      <c r="C90" s="178">
        <v>4</v>
      </c>
      <c r="D90" s="184">
        <f t="shared" si="12"/>
        <v>123.51</v>
      </c>
      <c r="E90" s="171">
        <v>102.44</v>
      </c>
      <c r="F90" s="170">
        <f t="shared" si="13"/>
        <v>90.04</v>
      </c>
      <c r="G90" s="170">
        <f t="shared" si="14"/>
        <v>74.555831999999995</v>
      </c>
    </row>
    <row r="91" spans="1:7">
      <c r="C91" s="178">
        <v>5</v>
      </c>
      <c r="D91" s="184">
        <f t="shared" si="12"/>
        <v>124.18</v>
      </c>
      <c r="E91" s="171">
        <v>102.99</v>
      </c>
      <c r="F91" s="170">
        <f t="shared" si="13"/>
        <v>90.53</v>
      </c>
      <c r="G91" s="170">
        <f t="shared" si="14"/>
        <v>74.956121999999993</v>
      </c>
    </row>
    <row r="92" spans="1:7">
      <c r="C92" s="178">
        <v>6</v>
      </c>
      <c r="D92" s="184">
        <f t="shared" si="12"/>
        <v>124.05</v>
      </c>
      <c r="E92" s="171">
        <v>102.89</v>
      </c>
      <c r="F92" s="170">
        <f t="shared" si="13"/>
        <v>90.44</v>
      </c>
      <c r="G92" s="170">
        <f t="shared" si="14"/>
        <v>74.883341999999999</v>
      </c>
    </row>
    <row r="93" spans="1:7">
      <c r="C93" s="178">
        <v>7</v>
      </c>
      <c r="D93" s="184">
        <f t="shared" si="12"/>
        <v>124.36</v>
      </c>
      <c r="E93" s="171">
        <v>103.14</v>
      </c>
      <c r="F93" s="170">
        <f t="shared" si="13"/>
        <v>90.66</v>
      </c>
      <c r="G93" s="170">
        <f t="shared" si="14"/>
        <v>75.065291999999999</v>
      </c>
    </row>
    <row r="94" spans="1:7">
      <c r="C94" s="178">
        <v>8</v>
      </c>
      <c r="D94" s="184">
        <f t="shared" si="12"/>
        <v>123.87</v>
      </c>
      <c r="E94" s="171">
        <v>102.74</v>
      </c>
      <c r="F94" s="170">
        <f t="shared" si="13"/>
        <v>90.31</v>
      </c>
      <c r="G94" s="170">
        <f t="shared" si="14"/>
        <v>74.774171999999993</v>
      </c>
    </row>
    <row r="95" spans="1:7">
      <c r="C95" s="178">
        <v>9</v>
      </c>
      <c r="D95" s="184">
        <f t="shared" si="12"/>
        <v>123.84</v>
      </c>
      <c r="E95" s="171">
        <v>102.71</v>
      </c>
      <c r="F95" s="170">
        <f t="shared" si="13"/>
        <v>90.28</v>
      </c>
      <c r="G95" s="170">
        <f t="shared" si="14"/>
        <v>74.752337999999995</v>
      </c>
    </row>
    <row r="96" spans="1:7">
      <c r="C96" s="178">
        <v>10</v>
      </c>
      <c r="D96" s="184">
        <f t="shared" si="12"/>
        <v>123.85</v>
      </c>
      <c r="E96" s="171">
        <v>102.72</v>
      </c>
      <c r="F96" s="170">
        <f t="shared" si="13"/>
        <v>90.29</v>
      </c>
      <c r="G96" s="170">
        <f t="shared" si="14"/>
        <v>74.759615999999994</v>
      </c>
    </row>
    <row r="97" spans="1:7">
      <c r="C97" s="178">
        <v>11</v>
      </c>
      <c r="D97" s="184">
        <f t="shared" si="12"/>
        <v>123.83</v>
      </c>
      <c r="E97" s="171">
        <v>102.7</v>
      </c>
      <c r="F97" s="170">
        <f t="shared" si="13"/>
        <v>90.27</v>
      </c>
      <c r="G97" s="170">
        <f t="shared" si="14"/>
        <v>74.745060000000009</v>
      </c>
    </row>
    <row r="98" spans="1:7">
      <c r="C98" s="178">
        <v>12</v>
      </c>
      <c r="D98" s="184">
        <f t="shared" si="12"/>
        <v>123.84</v>
      </c>
      <c r="E98" s="171">
        <v>102.71</v>
      </c>
      <c r="F98" s="170">
        <f t="shared" si="13"/>
        <v>90.28</v>
      </c>
      <c r="G98" s="170">
        <f>E98*0.7278</f>
        <v>74.752337999999995</v>
      </c>
    </row>
    <row r="99" spans="1:7">
      <c r="B99" s="163" t="s">
        <v>242</v>
      </c>
      <c r="D99" s="181">
        <f>AVERAGE(D87:D98)</f>
        <v>123.6758333333333</v>
      </c>
      <c r="E99" s="181">
        <f>AVERAGE(E87:E98)</f>
        <v>102.575</v>
      </c>
      <c r="F99" s="181">
        <f>AVERAGE(F87:F98)</f>
        <v>90.162500000000009</v>
      </c>
      <c r="G99" s="181">
        <f>AVERAGE(G87:G98)</f>
        <v>74.654085000000009</v>
      </c>
    </row>
    <row r="103" spans="1:7">
      <c r="A103" s="453">
        <v>1999</v>
      </c>
      <c r="B103" s="453"/>
    </row>
    <row r="104" spans="1:7">
      <c r="B104" s="172" t="s">
        <v>240</v>
      </c>
      <c r="D104" s="174">
        <v>1988</v>
      </c>
      <c r="E104" s="175">
        <v>1996</v>
      </c>
      <c r="F104" s="175">
        <v>2004</v>
      </c>
      <c r="G104" s="176">
        <v>2013</v>
      </c>
    </row>
    <row r="105" spans="1:7">
      <c r="B105" s="177" t="s">
        <v>241</v>
      </c>
      <c r="C105" s="178">
        <v>1</v>
      </c>
      <c r="D105" s="184">
        <f t="shared" ref="D105:D116" si="15">ROUND(E105*1.2057,2)</f>
        <v>124.27</v>
      </c>
      <c r="E105" s="171">
        <v>103.07</v>
      </c>
      <c r="F105" s="170">
        <f t="shared" ref="F105:F116" si="16">ROUND($E105*0.879,2)</f>
        <v>90.6</v>
      </c>
      <c r="G105" s="170">
        <f t="shared" ref="G105:G115" si="17">E105*0.7278</f>
        <v>75.014345999999989</v>
      </c>
    </row>
    <row r="106" spans="1:7">
      <c r="C106" s="178">
        <v>2</v>
      </c>
      <c r="D106" s="184">
        <f t="shared" si="15"/>
        <v>124.56</v>
      </c>
      <c r="E106" s="171">
        <v>103.31</v>
      </c>
      <c r="F106" s="170">
        <f t="shared" si="16"/>
        <v>90.81</v>
      </c>
      <c r="G106" s="170">
        <f t="shared" si="17"/>
        <v>75.189018000000004</v>
      </c>
    </row>
    <row r="107" spans="1:7">
      <c r="C107" s="178">
        <v>3</v>
      </c>
      <c r="D107" s="184">
        <f t="shared" si="15"/>
        <v>124.57</v>
      </c>
      <c r="E107" s="171">
        <v>103.32</v>
      </c>
      <c r="F107" s="170">
        <f t="shared" si="16"/>
        <v>90.82</v>
      </c>
      <c r="G107" s="170">
        <f t="shared" si="17"/>
        <v>75.19629599999999</v>
      </c>
    </row>
    <row r="108" spans="1:7">
      <c r="C108" s="178">
        <v>4</v>
      </c>
      <c r="D108" s="184">
        <f t="shared" si="15"/>
        <v>124.87</v>
      </c>
      <c r="E108" s="171">
        <v>103.57</v>
      </c>
      <c r="F108" s="170">
        <f t="shared" si="16"/>
        <v>91.04</v>
      </c>
      <c r="G108" s="170">
        <f t="shared" si="17"/>
        <v>75.37824599999999</v>
      </c>
    </row>
    <row r="109" spans="1:7">
      <c r="C109" s="178">
        <v>5</v>
      </c>
      <c r="D109" s="184">
        <f t="shared" si="15"/>
        <v>125.08</v>
      </c>
      <c r="E109" s="171">
        <v>103.74</v>
      </c>
      <c r="F109" s="170">
        <f t="shared" si="16"/>
        <v>91.19</v>
      </c>
      <c r="G109" s="170">
        <f t="shared" si="17"/>
        <v>75.501971999999995</v>
      </c>
    </row>
    <row r="110" spans="1:7">
      <c r="C110" s="178">
        <v>6</v>
      </c>
      <c r="D110" s="184">
        <f t="shared" si="15"/>
        <v>124.86</v>
      </c>
      <c r="E110" s="171">
        <v>103.56</v>
      </c>
      <c r="F110" s="170">
        <f t="shared" si="16"/>
        <v>91.03</v>
      </c>
      <c r="G110" s="170">
        <f t="shared" si="17"/>
        <v>75.370968000000005</v>
      </c>
    </row>
    <row r="111" spans="1:7">
      <c r="C111" s="178">
        <v>7</v>
      </c>
      <c r="D111" s="184">
        <f t="shared" si="15"/>
        <v>124.89</v>
      </c>
      <c r="E111" s="171">
        <v>103.58</v>
      </c>
      <c r="F111" s="170">
        <f t="shared" si="16"/>
        <v>91.05</v>
      </c>
      <c r="G111" s="170">
        <f t="shared" si="17"/>
        <v>75.385524000000004</v>
      </c>
    </row>
    <row r="112" spans="1:7">
      <c r="C112" s="178">
        <v>8</v>
      </c>
      <c r="D112" s="184">
        <f t="shared" si="15"/>
        <v>124.58</v>
      </c>
      <c r="E112" s="171">
        <v>103.33</v>
      </c>
      <c r="F112" s="170">
        <f t="shared" si="16"/>
        <v>90.83</v>
      </c>
      <c r="G112" s="170">
        <f t="shared" si="17"/>
        <v>75.203574000000003</v>
      </c>
    </row>
    <row r="113" spans="1:7">
      <c r="C113" s="178">
        <v>9</v>
      </c>
      <c r="D113" s="184">
        <f t="shared" si="15"/>
        <v>124.83</v>
      </c>
      <c r="E113" s="171">
        <v>103.53</v>
      </c>
      <c r="F113" s="170">
        <f t="shared" si="16"/>
        <v>91</v>
      </c>
      <c r="G113" s="170">
        <f t="shared" si="17"/>
        <v>75.349134000000006</v>
      </c>
    </row>
    <row r="114" spans="1:7">
      <c r="C114" s="178">
        <v>10</v>
      </c>
      <c r="D114" s="184">
        <f t="shared" si="15"/>
        <v>124.97</v>
      </c>
      <c r="E114" s="171">
        <v>103.65</v>
      </c>
      <c r="F114" s="170">
        <f t="shared" si="16"/>
        <v>91.11</v>
      </c>
      <c r="G114" s="170">
        <f t="shared" si="17"/>
        <v>75.43647</v>
      </c>
    </row>
    <row r="115" spans="1:7">
      <c r="C115" s="178">
        <v>11</v>
      </c>
      <c r="D115" s="184">
        <f t="shared" si="15"/>
        <v>125.19</v>
      </c>
      <c r="E115" s="171">
        <v>103.83</v>
      </c>
      <c r="F115" s="170">
        <f t="shared" si="16"/>
        <v>91.27</v>
      </c>
      <c r="G115" s="170">
        <f t="shared" si="17"/>
        <v>75.567474000000004</v>
      </c>
    </row>
    <row r="116" spans="1:7">
      <c r="C116" s="178">
        <v>12</v>
      </c>
      <c r="D116" s="184">
        <f t="shared" si="15"/>
        <v>125.42</v>
      </c>
      <c r="E116" s="171">
        <v>104.02</v>
      </c>
      <c r="F116" s="170">
        <f t="shared" si="16"/>
        <v>91.43</v>
      </c>
      <c r="G116" s="170">
        <f>E116*0.7278</f>
        <v>75.705755999999994</v>
      </c>
    </row>
    <row r="117" spans="1:7">
      <c r="B117" s="163" t="s">
        <v>242</v>
      </c>
      <c r="D117" s="181">
        <f>AVERAGE(D105:D116)</f>
        <v>124.84083333333335</v>
      </c>
      <c r="E117" s="181">
        <f>AVERAGE(E105:E116)</f>
        <v>103.5425</v>
      </c>
      <c r="F117" s="181">
        <f>AVERAGE(F105:F116)</f>
        <v>91.015000000000001</v>
      </c>
      <c r="G117" s="181">
        <f>AVERAGE(G105:G116)</f>
        <v>75.358231500000002</v>
      </c>
    </row>
    <row r="121" spans="1:7">
      <c r="A121" s="453">
        <v>2000</v>
      </c>
      <c r="B121" s="453"/>
    </row>
    <row r="122" spans="1:7">
      <c r="B122" s="172" t="s">
        <v>240</v>
      </c>
      <c r="D122" s="174">
        <v>1988</v>
      </c>
      <c r="E122" s="175">
        <v>1996</v>
      </c>
      <c r="F122" s="175">
        <v>2004</v>
      </c>
      <c r="G122" s="176">
        <v>2013</v>
      </c>
    </row>
    <row r="123" spans="1:7">
      <c r="B123" s="177" t="s">
        <v>241</v>
      </c>
      <c r="C123" s="178">
        <v>1</v>
      </c>
      <c r="D123" s="184">
        <f t="shared" ref="D123:D134" si="18">ROUND(E123*1.2057,2)</f>
        <v>125.74</v>
      </c>
      <c r="E123" s="171">
        <v>104.29</v>
      </c>
      <c r="F123" s="170">
        <f t="shared" ref="F123:F134" si="19">ROUND($E123*0.879,2)</f>
        <v>91.67</v>
      </c>
      <c r="G123" s="170">
        <f t="shared" ref="G123:G133" si="20">E123*0.7278</f>
        <v>75.902262000000007</v>
      </c>
    </row>
    <row r="124" spans="1:7">
      <c r="C124" s="178">
        <v>2</v>
      </c>
      <c r="D124" s="184">
        <f t="shared" si="18"/>
        <v>126.07</v>
      </c>
      <c r="E124" s="171">
        <v>104.56</v>
      </c>
      <c r="F124" s="170">
        <f t="shared" si="19"/>
        <v>91.91</v>
      </c>
      <c r="G124" s="170">
        <f t="shared" si="20"/>
        <v>76.098768000000007</v>
      </c>
    </row>
    <row r="125" spans="1:7">
      <c r="C125" s="178">
        <v>3</v>
      </c>
      <c r="D125" s="184">
        <f t="shared" si="18"/>
        <v>126.35</v>
      </c>
      <c r="E125" s="171">
        <v>104.79</v>
      </c>
      <c r="F125" s="170">
        <f t="shared" si="19"/>
        <v>92.11</v>
      </c>
      <c r="G125" s="170">
        <f t="shared" si="20"/>
        <v>76.266162000000008</v>
      </c>
    </row>
    <row r="126" spans="1:7">
      <c r="C126" s="178">
        <v>4</v>
      </c>
      <c r="D126" s="184">
        <f t="shared" si="18"/>
        <v>126.69</v>
      </c>
      <c r="E126" s="171">
        <v>105.08</v>
      </c>
      <c r="F126" s="170">
        <f t="shared" si="19"/>
        <v>92.37</v>
      </c>
      <c r="G126" s="170">
        <f t="shared" si="20"/>
        <v>76.477223999999993</v>
      </c>
    </row>
    <row r="127" spans="1:7">
      <c r="C127" s="178">
        <v>5</v>
      </c>
      <c r="D127" s="184">
        <f t="shared" si="18"/>
        <v>126.85</v>
      </c>
      <c r="E127" s="171">
        <v>105.21</v>
      </c>
      <c r="F127" s="170">
        <f t="shared" si="19"/>
        <v>92.48</v>
      </c>
      <c r="G127" s="170">
        <f t="shared" si="20"/>
        <v>76.571838</v>
      </c>
    </row>
    <row r="128" spans="1:7">
      <c r="C128" s="178">
        <v>6</v>
      </c>
      <c r="D128" s="184">
        <f t="shared" si="18"/>
        <v>127.12</v>
      </c>
      <c r="E128" s="171">
        <v>105.43</v>
      </c>
      <c r="F128" s="170">
        <f t="shared" si="19"/>
        <v>92.67</v>
      </c>
      <c r="G128" s="170">
        <f t="shared" si="20"/>
        <v>76.731954000000002</v>
      </c>
    </row>
    <row r="129" spans="1:7">
      <c r="C129" s="178">
        <v>7</v>
      </c>
      <c r="D129" s="184">
        <f t="shared" si="18"/>
        <v>127.43</v>
      </c>
      <c r="E129" s="171">
        <v>105.69</v>
      </c>
      <c r="F129" s="170">
        <f t="shared" si="19"/>
        <v>92.9</v>
      </c>
      <c r="G129" s="170">
        <f t="shared" si="20"/>
        <v>76.921182000000002</v>
      </c>
    </row>
    <row r="130" spans="1:7">
      <c r="C130" s="178">
        <v>8</v>
      </c>
      <c r="D130" s="184">
        <f t="shared" si="18"/>
        <v>127.49</v>
      </c>
      <c r="E130" s="171">
        <v>105.74</v>
      </c>
      <c r="F130" s="170">
        <f t="shared" si="19"/>
        <v>92.95</v>
      </c>
      <c r="G130" s="170">
        <f t="shared" si="20"/>
        <v>76.957571999999999</v>
      </c>
    </row>
    <row r="131" spans="1:7">
      <c r="C131" s="178">
        <v>9</v>
      </c>
      <c r="D131" s="184">
        <f t="shared" si="18"/>
        <v>128.05000000000001</v>
      </c>
      <c r="E131" s="171">
        <v>106.2</v>
      </c>
      <c r="F131" s="170">
        <f t="shared" si="19"/>
        <v>93.35</v>
      </c>
      <c r="G131" s="170">
        <f t="shared" si="20"/>
        <v>77.292360000000002</v>
      </c>
    </row>
    <row r="132" spans="1:7">
      <c r="C132" s="178">
        <v>10</v>
      </c>
      <c r="D132" s="184">
        <f t="shared" si="18"/>
        <v>127.85</v>
      </c>
      <c r="E132" s="171">
        <v>106.04</v>
      </c>
      <c r="F132" s="170">
        <f t="shared" si="19"/>
        <v>93.21</v>
      </c>
      <c r="G132" s="170">
        <f t="shared" si="20"/>
        <v>77.175912000000011</v>
      </c>
    </row>
    <row r="133" spans="1:7">
      <c r="C133" s="178">
        <v>11</v>
      </c>
      <c r="D133" s="184">
        <f t="shared" si="18"/>
        <v>128.35</v>
      </c>
      <c r="E133" s="171">
        <v>106.45</v>
      </c>
      <c r="F133" s="170">
        <f t="shared" si="19"/>
        <v>93.57</v>
      </c>
      <c r="G133" s="170">
        <f t="shared" si="20"/>
        <v>77.474310000000003</v>
      </c>
    </row>
    <row r="134" spans="1:7">
      <c r="C134" s="178">
        <v>12</v>
      </c>
      <c r="D134" s="184">
        <f t="shared" si="18"/>
        <v>128.29</v>
      </c>
      <c r="E134" s="171">
        <v>106.4</v>
      </c>
      <c r="F134" s="170">
        <f t="shared" si="19"/>
        <v>93.53</v>
      </c>
      <c r="G134" s="170">
        <f>E134*0.7278</f>
        <v>77.437920000000005</v>
      </c>
    </row>
    <row r="135" spans="1:7">
      <c r="B135" s="163" t="s">
        <v>242</v>
      </c>
      <c r="D135" s="181">
        <f>AVERAGE(D123:D134)</f>
        <v>127.18999999999998</v>
      </c>
      <c r="E135" s="181">
        <f>AVERAGE(E123:E134)</f>
        <v>105.49000000000002</v>
      </c>
      <c r="F135" s="181">
        <f>AVERAGE(F123:F134)</f>
        <v>92.726666666666674</v>
      </c>
      <c r="G135" s="181">
        <f>AVERAGE(G123:G134)</f>
        <v>76.775622000000013</v>
      </c>
    </row>
    <row r="139" spans="1:7">
      <c r="A139" s="453">
        <v>2001</v>
      </c>
      <c r="B139" s="453"/>
    </row>
    <row r="140" spans="1:7">
      <c r="B140" s="172" t="s">
        <v>240</v>
      </c>
      <c r="D140" s="174">
        <v>1988</v>
      </c>
      <c r="E140" s="175">
        <v>1996</v>
      </c>
      <c r="F140" s="175">
        <v>2004</v>
      </c>
      <c r="G140" s="176">
        <v>2013</v>
      </c>
    </row>
    <row r="141" spans="1:7">
      <c r="B141" s="177" t="s">
        <v>241</v>
      </c>
      <c r="C141" s="178">
        <v>1</v>
      </c>
      <c r="D141" s="184">
        <f t="shared" ref="D141:D152" si="21">ROUND(E141*1.2057,2)</f>
        <v>128.38</v>
      </c>
      <c r="E141" s="171">
        <v>106.48</v>
      </c>
      <c r="F141" s="170">
        <f t="shared" ref="F141:F152" si="22">ROUND($E141*0.879,2)</f>
        <v>93.6</v>
      </c>
      <c r="G141" s="170">
        <f t="shared" ref="G141:G151" si="23">E141*0.7278</f>
        <v>77.496144000000001</v>
      </c>
    </row>
    <row r="142" spans="1:7">
      <c r="C142" s="178">
        <v>2</v>
      </c>
      <c r="D142" s="184">
        <f t="shared" si="21"/>
        <v>128.80000000000001</v>
      </c>
      <c r="E142" s="171">
        <v>106.83</v>
      </c>
      <c r="F142" s="170">
        <f t="shared" si="22"/>
        <v>93.9</v>
      </c>
      <c r="G142" s="170">
        <f t="shared" si="23"/>
        <v>77.750873999999996</v>
      </c>
    </row>
    <row r="143" spans="1:7">
      <c r="C143" s="178">
        <v>3</v>
      </c>
      <c r="D143" s="184">
        <f t="shared" si="21"/>
        <v>129.18</v>
      </c>
      <c r="E143" s="171">
        <v>107.14</v>
      </c>
      <c r="F143" s="170">
        <f t="shared" si="22"/>
        <v>94.18</v>
      </c>
      <c r="G143" s="170">
        <f t="shared" si="23"/>
        <v>77.976492000000007</v>
      </c>
    </row>
    <row r="144" spans="1:7">
      <c r="C144" s="178">
        <v>4</v>
      </c>
      <c r="D144" s="184">
        <f t="shared" si="21"/>
        <v>130.13999999999999</v>
      </c>
      <c r="E144" s="171">
        <v>107.94</v>
      </c>
      <c r="F144" s="170">
        <f t="shared" si="22"/>
        <v>94.88</v>
      </c>
      <c r="G144" s="170">
        <f t="shared" si="23"/>
        <v>78.558731999999992</v>
      </c>
    </row>
    <row r="145" spans="1:7">
      <c r="C145" s="178">
        <v>5</v>
      </c>
      <c r="D145" s="184">
        <f t="shared" si="21"/>
        <v>130.77000000000001</v>
      </c>
      <c r="E145" s="171">
        <v>108.46</v>
      </c>
      <c r="F145" s="170">
        <f t="shared" si="22"/>
        <v>95.34</v>
      </c>
      <c r="G145" s="170">
        <f t="shared" si="23"/>
        <v>78.937187999999992</v>
      </c>
    </row>
    <row r="146" spans="1:7">
      <c r="C146" s="178">
        <v>6</v>
      </c>
      <c r="D146" s="184">
        <f t="shared" si="21"/>
        <v>131.19</v>
      </c>
      <c r="E146" s="171">
        <v>108.81</v>
      </c>
      <c r="F146" s="170">
        <f t="shared" si="22"/>
        <v>95.64</v>
      </c>
      <c r="G146" s="170">
        <f t="shared" si="23"/>
        <v>79.191918000000001</v>
      </c>
    </row>
    <row r="147" spans="1:7">
      <c r="C147" s="178">
        <v>7</v>
      </c>
      <c r="D147" s="184">
        <f t="shared" si="21"/>
        <v>131.32</v>
      </c>
      <c r="E147" s="171">
        <v>108.92</v>
      </c>
      <c r="F147" s="170">
        <f t="shared" si="22"/>
        <v>95.74</v>
      </c>
      <c r="G147" s="170">
        <f t="shared" si="23"/>
        <v>79.271975999999995</v>
      </c>
    </row>
    <row r="148" spans="1:7">
      <c r="C148" s="178">
        <v>8</v>
      </c>
      <c r="D148" s="184">
        <f t="shared" si="21"/>
        <v>131.41</v>
      </c>
      <c r="E148" s="171">
        <v>108.99</v>
      </c>
      <c r="F148" s="170">
        <f t="shared" si="22"/>
        <v>95.8</v>
      </c>
      <c r="G148" s="170">
        <f t="shared" si="23"/>
        <v>79.322921999999991</v>
      </c>
    </row>
    <row r="149" spans="1:7">
      <c r="C149" s="178">
        <v>9</v>
      </c>
      <c r="D149" s="184">
        <f t="shared" si="21"/>
        <v>131.61000000000001</v>
      </c>
      <c r="E149" s="171">
        <v>109.16</v>
      </c>
      <c r="F149" s="170">
        <f t="shared" si="22"/>
        <v>95.95</v>
      </c>
      <c r="G149" s="170">
        <f t="shared" si="23"/>
        <v>79.446647999999996</v>
      </c>
    </row>
    <row r="150" spans="1:7">
      <c r="C150" s="178">
        <v>10</v>
      </c>
      <c r="D150" s="184">
        <f t="shared" si="21"/>
        <v>131.69</v>
      </c>
      <c r="E150" s="171">
        <v>109.22</v>
      </c>
      <c r="F150" s="170">
        <f t="shared" si="22"/>
        <v>96</v>
      </c>
      <c r="G150" s="170">
        <f t="shared" si="23"/>
        <v>79.490315999999993</v>
      </c>
    </row>
    <row r="151" spans="1:7">
      <c r="C151" s="178">
        <v>11</v>
      </c>
      <c r="D151" s="184">
        <f t="shared" si="21"/>
        <v>131.94</v>
      </c>
      <c r="E151" s="171">
        <v>109.43</v>
      </c>
      <c r="F151" s="170">
        <f t="shared" si="22"/>
        <v>96.19</v>
      </c>
      <c r="G151" s="170">
        <f t="shared" si="23"/>
        <v>79.64315400000001</v>
      </c>
    </row>
    <row r="152" spans="1:7">
      <c r="C152" s="178">
        <v>12</v>
      </c>
      <c r="D152" s="184">
        <f t="shared" si="21"/>
        <v>131.69999999999999</v>
      </c>
      <c r="E152" s="171">
        <v>109.23</v>
      </c>
      <c r="F152" s="170">
        <f t="shared" si="22"/>
        <v>96.01</v>
      </c>
      <c r="G152" s="170">
        <f>E152*0.7278</f>
        <v>79.497594000000007</v>
      </c>
    </row>
    <row r="153" spans="1:7">
      <c r="B153" s="163" t="s">
        <v>242</v>
      </c>
      <c r="D153" s="181">
        <f>AVERAGE(D141:D152)</f>
        <v>130.67750000000004</v>
      </c>
      <c r="E153" s="181">
        <f>AVERAGE(E141:E152)</f>
        <v>108.38416666666667</v>
      </c>
      <c r="F153" s="181">
        <f>AVERAGE(F141:F152)</f>
        <v>95.269166666666663</v>
      </c>
      <c r="G153" s="181">
        <f>AVERAGE(G141:G152)</f>
        <v>78.8819965</v>
      </c>
    </row>
    <row r="157" spans="1:7">
      <c r="A157" s="453">
        <v>2002</v>
      </c>
      <c r="B157" s="453"/>
    </row>
    <row r="158" spans="1:7">
      <c r="B158" s="172" t="s">
        <v>240</v>
      </c>
      <c r="D158" s="174">
        <v>1988</v>
      </c>
      <c r="E158" s="175">
        <v>1996</v>
      </c>
      <c r="F158" s="175">
        <v>2004</v>
      </c>
      <c r="G158" s="176">
        <v>2013</v>
      </c>
    </row>
    <row r="159" spans="1:7">
      <c r="B159" s="177" t="s">
        <v>241</v>
      </c>
      <c r="C159" s="178">
        <v>1</v>
      </c>
      <c r="D159" s="184">
        <f t="shared" ref="D159:D170" si="24">ROUND(E159*1.2057,2)</f>
        <v>132.54</v>
      </c>
      <c r="E159" s="171">
        <v>109.93</v>
      </c>
      <c r="F159" s="170">
        <f t="shared" ref="F159:F170" si="25">ROUND($E159*0.879,2)</f>
        <v>96.63</v>
      </c>
      <c r="G159" s="170">
        <f t="shared" ref="G159:G169" si="26">E159*0.7278</f>
        <v>80.007054000000011</v>
      </c>
    </row>
    <row r="160" spans="1:7">
      <c r="C160" s="178">
        <v>2</v>
      </c>
      <c r="D160" s="184">
        <f t="shared" si="24"/>
        <v>132.74</v>
      </c>
      <c r="E160" s="171">
        <v>110.09</v>
      </c>
      <c r="F160" s="170">
        <f t="shared" si="25"/>
        <v>96.77</v>
      </c>
      <c r="G160" s="170">
        <f t="shared" si="26"/>
        <v>80.123502000000002</v>
      </c>
    </row>
    <row r="161" spans="1:7">
      <c r="C161" s="178">
        <v>3</v>
      </c>
      <c r="D161" s="184">
        <f t="shared" si="24"/>
        <v>133.02000000000001</v>
      </c>
      <c r="E161" s="171">
        <v>110.33</v>
      </c>
      <c r="F161" s="170">
        <f t="shared" si="25"/>
        <v>96.98</v>
      </c>
      <c r="G161" s="170">
        <f t="shared" si="26"/>
        <v>80.298174000000003</v>
      </c>
    </row>
    <row r="162" spans="1:7">
      <c r="C162" s="178">
        <v>4</v>
      </c>
      <c r="D162" s="184">
        <f t="shared" si="24"/>
        <v>132.76</v>
      </c>
      <c r="E162" s="171">
        <v>110.11</v>
      </c>
      <c r="F162" s="170">
        <f t="shared" si="25"/>
        <v>96.79</v>
      </c>
      <c r="G162" s="170">
        <f t="shared" si="26"/>
        <v>80.138058000000001</v>
      </c>
    </row>
    <row r="163" spans="1:7">
      <c r="C163" s="178">
        <v>5</v>
      </c>
      <c r="D163" s="184">
        <f t="shared" si="24"/>
        <v>133.05000000000001</v>
      </c>
      <c r="E163" s="171">
        <v>110.35</v>
      </c>
      <c r="F163" s="170">
        <f t="shared" si="25"/>
        <v>97</v>
      </c>
      <c r="G163" s="170">
        <f t="shared" si="26"/>
        <v>80.312730000000002</v>
      </c>
    </row>
    <row r="164" spans="1:7">
      <c r="C164" s="178">
        <v>6</v>
      </c>
      <c r="D164" s="184">
        <f t="shared" si="24"/>
        <v>132.74</v>
      </c>
      <c r="E164" s="171">
        <v>110.09</v>
      </c>
      <c r="F164" s="170">
        <f t="shared" si="25"/>
        <v>96.77</v>
      </c>
      <c r="G164" s="170">
        <f t="shared" si="26"/>
        <v>80.123502000000002</v>
      </c>
    </row>
    <row r="165" spans="1:7">
      <c r="C165" s="178">
        <v>7</v>
      </c>
      <c r="D165" s="184">
        <f t="shared" si="24"/>
        <v>133.16</v>
      </c>
      <c r="E165" s="171">
        <v>110.44</v>
      </c>
      <c r="F165" s="170">
        <f t="shared" si="25"/>
        <v>97.08</v>
      </c>
      <c r="G165" s="170">
        <f t="shared" si="26"/>
        <v>80.378231999999997</v>
      </c>
    </row>
    <row r="166" spans="1:7">
      <c r="C166" s="178">
        <v>8</v>
      </c>
      <c r="D166" s="184">
        <f t="shared" si="24"/>
        <v>133.1</v>
      </c>
      <c r="E166" s="171">
        <v>110.39</v>
      </c>
      <c r="F166" s="170">
        <f t="shared" si="25"/>
        <v>97.03</v>
      </c>
      <c r="G166" s="170">
        <f t="shared" si="26"/>
        <v>80.341842</v>
      </c>
    </row>
    <row r="167" spans="1:7">
      <c r="C167" s="178">
        <v>9</v>
      </c>
      <c r="D167" s="184">
        <f t="shared" si="24"/>
        <v>133.37</v>
      </c>
      <c r="E167" s="171">
        <v>110.62</v>
      </c>
      <c r="F167" s="170">
        <f t="shared" si="25"/>
        <v>97.23</v>
      </c>
      <c r="G167" s="170">
        <f t="shared" si="26"/>
        <v>80.509236000000001</v>
      </c>
    </row>
    <row r="168" spans="1:7">
      <c r="C168" s="178">
        <v>10</v>
      </c>
      <c r="D168" s="184">
        <f t="shared" si="24"/>
        <v>133.15</v>
      </c>
      <c r="E168" s="171">
        <v>110.43</v>
      </c>
      <c r="F168" s="170">
        <f t="shared" si="25"/>
        <v>97.07</v>
      </c>
      <c r="G168" s="170">
        <f t="shared" si="26"/>
        <v>80.370954000000012</v>
      </c>
    </row>
    <row r="169" spans="1:7">
      <c r="C169" s="178">
        <v>11</v>
      </c>
      <c r="D169" s="184">
        <f t="shared" si="24"/>
        <v>133.18</v>
      </c>
      <c r="E169" s="171">
        <v>110.46</v>
      </c>
      <c r="F169" s="170">
        <f t="shared" si="25"/>
        <v>97.09</v>
      </c>
      <c r="G169" s="170">
        <f t="shared" si="26"/>
        <v>80.392787999999996</v>
      </c>
    </row>
    <row r="170" spans="1:7">
      <c r="C170" s="178">
        <v>12</v>
      </c>
      <c r="D170" s="184">
        <f t="shared" si="24"/>
        <v>133.29</v>
      </c>
      <c r="E170" s="171">
        <v>110.55</v>
      </c>
      <c r="F170" s="170">
        <f t="shared" si="25"/>
        <v>97.17</v>
      </c>
      <c r="G170" s="170">
        <f>E170*0.7278</f>
        <v>80.458290000000005</v>
      </c>
    </row>
    <row r="171" spans="1:7">
      <c r="B171" s="163" t="s">
        <v>242</v>
      </c>
      <c r="D171" s="181">
        <f>AVERAGE(D159:D170)</f>
        <v>133.00833333333335</v>
      </c>
      <c r="E171" s="181">
        <f>AVERAGE(E159:E170)</f>
        <v>110.31583333333334</v>
      </c>
      <c r="F171" s="181">
        <f>AVERAGE(F159:F170)</f>
        <v>96.967500000000015</v>
      </c>
      <c r="G171" s="181">
        <f>AVERAGE(G159:G170)</f>
        <v>80.2878635</v>
      </c>
    </row>
    <row r="175" spans="1:7">
      <c r="A175" s="453">
        <v>2003</v>
      </c>
      <c r="B175" s="453"/>
    </row>
    <row r="176" spans="1:7">
      <c r="B176" s="172" t="s">
        <v>240</v>
      </c>
      <c r="D176" s="174">
        <v>1988</v>
      </c>
      <c r="E176" s="175">
        <v>1996</v>
      </c>
      <c r="F176" s="175">
        <v>2004</v>
      </c>
      <c r="G176" s="176">
        <v>2013</v>
      </c>
    </row>
    <row r="177" spans="2:7">
      <c r="B177" s="177" t="s">
        <v>241</v>
      </c>
      <c r="C177" s="178">
        <v>1</v>
      </c>
      <c r="D177" s="184">
        <f t="shared" ref="D177:D188" si="27">ROUND(E177*1.2057,2)</f>
        <v>133.76</v>
      </c>
      <c r="E177" s="171">
        <v>110.94</v>
      </c>
      <c r="F177" s="170">
        <f t="shared" ref="F177:F188" si="28">ROUND($E177*0.879,2)</f>
        <v>97.52</v>
      </c>
      <c r="G177" s="170">
        <f t="shared" ref="G177:G187" si="29">E177*0.7278</f>
        <v>80.742131999999998</v>
      </c>
    </row>
    <row r="178" spans="2:7">
      <c r="C178" s="178">
        <v>2</v>
      </c>
      <c r="D178" s="184">
        <f t="shared" si="27"/>
        <v>134.51</v>
      </c>
      <c r="E178" s="171">
        <v>111.56</v>
      </c>
      <c r="F178" s="170">
        <f t="shared" si="28"/>
        <v>98.06</v>
      </c>
      <c r="G178" s="170">
        <f t="shared" si="29"/>
        <v>81.193368000000007</v>
      </c>
    </row>
    <row r="179" spans="2:7">
      <c r="C179" s="178">
        <v>3</v>
      </c>
      <c r="D179" s="184">
        <f t="shared" si="27"/>
        <v>134.82</v>
      </c>
      <c r="E179" s="171">
        <v>111.82</v>
      </c>
      <c r="F179" s="170">
        <f t="shared" si="28"/>
        <v>98.29</v>
      </c>
      <c r="G179" s="170">
        <f t="shared" si="29"/>
        <v>81.382595999999992</v>
      </c>
    </row>
    <row r="180" spans="2:7">
      <c r="C180" s="178">
        <v>4</v>
      </c>
      <c r="D180" s="184">
        <f t="shared" si="27"/>
        <v>134.71</v>
      </c>
      <c r="E180" s="171">
        <v>111.73</v>
      </c>
      <c r="F180" s="170">
        <f t="shared" si="28"/>
        <v>98.21</v>
      </c>
      <c r="G180" s="170">
        <f t="shared" si="29"/>
        <v>81.317093999999997</v>
      </c>
    </row>
    <row r="181" spans="2:7">
      <c r="C181" s="178">
        <v>5</v>
      </c>
      <c r="D181" s="184">
        <f t="shared" si="27"/>
        <v>134.52000000000001</v>
      </c>
      <c r="E181" s="171">
        <v>111.57</v>
      </c>
      <c r="F181" s="170">
        <f t="shared" si="28"/>
        <v>98.07</v>
      </c>
      <c r="G181" s="170">
        <f t="shared" si="29"/>
        <v>81.200645999999992</v>
      </c>
    </row>
    <row r="182" spans="2:7">
      <c r="C182" s="178">
        <v>6</v>
      </c>
      <c r="D182" s="184">
        <f t="shared" si="27"/>
        <v>134.86000000000001</v>
      </c>
      <c r="E182" s="171">
        <v>111.85</v>
      </c>
      <c r="F182" s="170">
        <f t="shared" si="28"/>
        <v>98.32</v>
      </c>
      <c r="G182" s="170">
        <f t="shared" si="29"/>
        <v>81.404429999999991</v>
      </c>
    </row>
    <row r="183" spans="2:7">
      <c r="C183" s="178">
        <v>7</v>
      </c>
      <c r="D183" s="184">
        <f t="shared" si="27"/>
        <v>135.11000000000001</v>
      </c>
      <c r="E183" s="171">
        <v>112.06</v>
      </c>
      <c r="F183" s="170">
        <f t="shared" si="28"/>
        <v>98.5</v>
      </c>
      <c r="G183" s="170">
        <f t="shared" si="29"/>
        <v>81.557268000000008</v>
      </c>
    </row>
    <row r="184" spans="2:7">
      <c r="C184" s="178">
        <v>8</v>
      </c>
      <c r="D184" s="184">
        <f t="shared" si="27"/>
        <v>135.28</v>
      </c>
      <c r="E184" s="171">
        <v>112.2</v>
      </c>
      <c r="F184" s="170">
        <f t="shared" si="28"/>
        <v>98.62</v>
      </c>
      <c r="G184" s="170">
        <f t="shared" si="29"/>
        <v>81.65916</v>
      </c>
    </row>
    <row r="185" spans="2:7">
      <c r="C185" s="178">
        <v>9</v>
      </c>
      <c r="D185" s="184">
        <f t="shared" si="27"/>
        <v>135.61000000000001</v>
      </c>
      <c r="E185" s="171">
        <v>112.47</v>
      </c>
      <c r="F185" s="170">
        <f t="shared" si="28"/>
        <v>98.86</v>
      </c>
      <c r="G185" s="170">
        <f t="shared" si="29"/>
        <v>81.855665999999999</v>
      </c>
    </row>
    <row r="186" spans="2:7">
      <c r="C186" s="178">
        <v>10</v>
      </c>
      <c r="D186" s="184">
        <f t="shared" si="27"/>
        <v>135.22</v>
      </c>
      <c r="E186" s="171">
        <v>112.15</v>
      </c>
      <c r="F186" s="170">
        <f t="shared" si="28"/>
        <v>98.58</v>
      </c>
      <c r="G186" s="170">
        <f t="shared" si="29"/>
        <v>81.622770000000003</v>
      </c>
    </row>
    <row r="187" spans="2:7">
      <c r="C187" s="178">
        <v>11</v>
      </c>
      <c r="D187" s="184">
        <f t="shared" si="27"/>
        <v>135.47</v>
      </c>
      <c r="E187" s="171">
        <v>112.36</v>
      </c>
      <c r="F187" s="170">
        <f t="shared" si="28"/>
        <v>98.76</v>
      </c>
      <c r="G187" s="170">
        <f t="shared" si="29"/>
        <v>81.775608000000005</v>
      </c>
    </row>
    <row r="188" spans="2:7">
      <c r="C188" s="178">
        <v>12</v>
      </c>
      <c r="D188" s="184">
        <f t="shared" si="27"/>
        <v>135.41999999999999</v>
      </c>
      <c r="E188" s="171">
        <v>112.32</v>
      </c>
      <c r="F188" s="170">
        <f t="shared" si="28"/>
        <v>98.73</v>
      </c>
      <c r="G188" s="170">
        <f>E188*0.7278</f>
        <v>81.746495999999993</v>
      </c>
    </row>
    <row r="189" spans="2:7">
      <c r="B189" s="163" t="s">
        <v>242</v>
      </c>
      <c r="D189" s="181">
        <f>AVERAGE(D177:D188)</f>
        <v>134.94083333333333</v>
      </c>
      <c r="E189" s="181">
        <f>AVERAGE(E177:E188)</f>
        <v>111.91916666666667</v>
      </c>
      <c r="F189" s="181">
        <f>AVERAGE(F177:F188)</f>
        <v>98.376666666666679</v>
      </c>
      <c r="G189" s="181">
        <f>AVERAGE(G177:G188)</f>
        <v>81.454769500000012</v>
      </c>
    </row>
    <row r="193" spans="1:7">
      <c r="A193" s="453">
        <v>2004</v>
      </c>
      <c r="B193" s="453"/>
    </row>
    <row r="194" spans="1:7">
      <c r="B194" s="172" t="s">
        <v>240</v>
      </c>
      <c r="D194" s="174">
        <v>1988</v>
      </c>
      <c r="E194" s="175">
        <v>1996</v>
      </c>
      <c r="F194" s="175">
        <v>2004</v>
      </c>
      <c r="G194" s="176">
        <v>2013</v>
      </c>
    </row>
    <row r="195" spans="1:7">
      <c r="B195" s="177" t="s">
        <v>241</v>
      </c>
      <c r="C195" s="178">
        <v>1</v>
      </c>
      <c r="D195" s="184">
        <f t="shared" ref="D195:D206" si="30">ROUND(E195*1.2057,2)</f>
        <v>135.85</v>
      </c>
      <c r="E195" s="171">
        <v>112.67</v>
      </c>
      <c r="F195" s="170">
        <f t="shared" ref="F195:F206" si="31">ROUND($E195*0.879,2)</f>
        <v>99.04</v>
      </c>
      <c r="G195" s="170">
        <f t="shared" ref="G195:G205" si="32">E195*0.7278</f>
        <v>82.001226000000003</v>
      </c>
    </row>
    <row r="196" spans="1:7">
      <c r="C196" s="178">
        <v>2</v>
      </c>
      <c r="D196" s="184">
        <f t="shared" si="30"/>
        <v>136.27000000000001</v>
      </c>
      <c r="E196" s="171">
        <v>113.02</v>
      </c>
      <c r="F196" s="170">
        <f t="shared" si="31"/>
        <v>99.34</v>
      </c>
      <c r="G196" s="170">
        <f t="shared" si="32"/>
        <v>82.255955999999998</v>
      </c>
    </row>
    <row r="197" spans="1:7">
      <c r="C197" s="178">
        <v>3</v>
      </c>
      <c r="D197" s="184">
        <f t="shared" si="30"/>
        <v>136.30000000000001</v>
      </c>
      <c r="E197" s="171">
        <v>113.05</v>
      </c>
      <c r="F197" s="170">
        <f t="shared" si="31"/>
        <v>99.37</v>
      </c>
      <c r="G197" s="170">
        <f t="shared" si="32"/>
        <v>82.277789999999996</v>
      </c>
    </row>
    <row r="198" spans="1:7">
      <c r="C198" s="178">
        <v>4</v>
      </c>
      <c r="D198" s="184">
        <f t="shared" si="30"/>
        <v>136.85</v>
      </c>
      <c r="E198" s="171">
        <v>113.5</v>
      </c>
      <c r="F198" s="170">
        <f t="shared" si="31"/>
        <v>99.77</v>
      </c>
      <c r="G198" s="170">
        <f t="shared" si="32"/>
        <v>82.6053</v>
      </c>
    </row>
    <row r="199" spans="1:7">
      <c r="C199" s="178">
        <v>5</v>
      </c>
      <c r="D199" s="184">
        <f t="shared" si="30"/>
        <v>137.05000000000001</v>
      </c>
      <c r="E199" s="171">
        <v>113.67</v>
      </c>
      <c r="F199" s="170">
        <f t="shared" si="31"/>
        <v>99.92</v>
      </c>
      <c r="G199" s="170">
        <f t="shared" si="32"/>
        <v>82.729026000000005</v>
      </c>
    </row>
    <row r="200" spans="1:7">
      <c r="C200" s="178">
        <v>6</v>
      </c>
      <c r="D200" s="184">
        <f t="shared" si="30"/>
        <v>137.03</v>
      </c>
      <c r="E200" s="171">
        <v>113.65</v>
      </c>
      <c r="F200" s="170">
        <f t="shared" si="31"/>
        <v>99.9</v>
      </c>
      <c r="G200" s="170">
        <f t="shared" si="32"/>
        <v>82.714470000000006</v>
      </c>
    </row>
    <row r="201" spans="1:7">
      <c r="C201" s="178">
        <v>7</v>
      </c>
      <c r="D201" s="184">
        <f t="shared" si="30"/>
        <v>137.44999999999999</v>
      </c>
      <c r="E201" s="171">
        <v>114</v>
      </c>
      <c r="F201" s="170">
        <f t="shared" si="31"/>
        <v>100.21</v>
      </c>
      <c r="G201" s="170">
        <f t="shared" si="32"/>
        <v>82.969200000000001</v>
      </c>
    </row>
    <row r="202" spans="1:7">
      <c r="C202" s="178">
        <v>8</v>
      </c>
      <c r="D202" s="184">
        <f t="shared" si="30"/>
        <v>137.49</v>
      </c>
      <c r="E202" s="171">
        <v>114.03</v>
      </c>
      <c r="F202" s="170">
        <f t="shared" si="31"/>
        <v>100.23</v>
      </c>
      <c r="G202" s="170">
        <f t="shared" si="32"/>
        <v>82.991033999999999</v>
      </c>
    </row>
    <row r="203" spans="1:7">
      <c r="C203" s="178">
        <v>9</v>
      </c>
      <c r="D203" s="184">
        <f t="shared" si="30"/>
        <v>137.55000000000001</v>
      </c>
      <c r="E203" s="171">
        <v>114.08</v>
      </c>
      <c r="F203" s="170">
        <f t="shared" si="31"/>
        <v>100.28</v>
      </c>
      <c r="G203" s="170">
        <f t="shared" si="32"/>
        <v>83.027423999999996</v>
      </c>
    </row>
    <row r="204" spans="1:7">
      <c r="C204" s="178">
        <v>10</v>
      </c>
      <c r="D204" s="184">
        <f t="shared" si="30"/>
        <v>138.04</v>
      </c>
      <c r="E204" s="171">
        <v>114.49</v>
      </c>
      <c r="F204" s="170">
        <f t="shared" si="31"/>
        <v>100.64</v>
      </c>
      <c r="G204" s="170">
        <f t="shared" si="32"/>
        <v>83.325822000000002</v>
      </c>
    </row>
    <row r="205" spans="1:7">
      <c r="C205" s="178">
        <v>11</v>
      </c>
      <c r="D205" s="184">
        <f t="shared" si="30"/>
        <v>138.03</v>
      </c>
      <c r="E205" s="171">
        <v>114.48</v>
      </c>
      <c r="F205" s="170">
        <f t="shared" si="31"/>
        <v>100.63</v>
      </c>
      <c r="G205" s="170">
        <f t="shared" si="32"/>
        <v>83.318544000000003</v>
      </c>
    </row>
    <row r="206" spans="1:7">
      <c r="C206" s="178">
        <v>12</v>
      </c>
      <c r="D206" s="184">
        <f t="shared" si="30"/>
        <v>137.75</v>
      </c>
      <c r="E206" s="171">
        <v>114.25</v>
      </c>
      <c r="F206" s="170">
        <f t="shared" si="31"/>
        <v>100.43</v>
      </c>
      <c r="G206" s="170">
        <f>E206*0.7278</f>
        <v>83.151150000000001</v>
      </c>
    </row>
    <row r="207" spans="1:7">
      <c r="B207" s="163" t="s">
        <v>242</v>
      </c>
      <c r="D207" s="181">
        <f>AVERAGE(D195:D206)</f>
        <v>137.13833333333332</v>
      </c>
      <c r="E207" s="181">
        <f>AVERAGE(E195:E206)</f>
        <v>113.74083333333333</v>
      </c>
      <c r="F207" s="181">
        <f>AVERAGE(F195:F206)</f>
        <v>99.98</v>
      </c>
      <c r="G207" s="181">
        <f>AVERAGE(G195:G206)</f>
        <v>82.780578500000004</v>
      </c>
    </row>
    <row r="211" spans="1:7">
      <c r="A211" s="453">
        <v>2005</v>
      </c>
      <c r="B211" s="453"/>
    </row>
    <row r="212" spans="1:7">
      <c r="B212" s="172" t="s">
        <v>240</v>
      </c>
      <c r="D212" s="174">
        <v>1988</v>
      </c>
      <c r="E212" s="175">
        <v>1996</v>
      </c>
      <c r="F212" s="175">
        <v>2004</v>
      </c>
      <c r="G212" s="176">
        <v>2013</v>
      </c>
    </row>
    <row r="213" spans="1:7">
      <c r="B213" s="177" t="s">
        <v>241</v>
      </c>
      <c r="C213" s="178">
        <v>1</v>
      </c>
      <c r="D213" s="184">
        <f t="shared" ref="D213:D224" si="33">ROUND(E213*1.2057,2)</f>
        <v>138.27000000000001</v>
      </c>
      <c r="E213" s="171">
        <v>114.68</v>
      </c>
      <c r="F213" s="170">
        <f t="shared" ref="F213:F224" si="34">ROUND($E213*0.879,2)</f>
        <v>100.8</v>
      </c>
      <c r="G213" s="170">
        <f t="shared" ref="G213:G223" si="35">E213*0.7278</f>
        <v>83.464104000000006</v>
      </c>
    </row>
    <row r="214" spans="1:7">
      <c r="C214" s="178">
        <v>2</v>
      </c>
      <c r="D214" s="184">
        <f t="shared" si="33"/>
        <v>138.99</v>
      </c>
      <c r="E214" s="171">
        <v>115.28</v>
      </c>
      <c r="F214" s="170">
        <f t="shared" si="34"/>
        <v>101.33</v>
      </c>
      <c r="G214" s="170">
        <f t="shared" si="35"/>
        <v>83.900784000000002</v>
      </c>
    </row>
    <row r="215" spans="1:7">
      <c r="C215" s="178">
        <v>3</v>
      </c>
      <c r="D215" s="184">
        <f t="shared" si="33"/>
        <v>139.74</v>
      </c>
      <c r="E215" s="171">
        <v>115.9</v>
      </c>
      <c r="F215" s="170">
        <f t="shared" si="34"/>
        <v>101.88</v>
      </c>
      <c r="G215" s="170">
        <f t="shared" si="35"/>
        <v>84.35202000000001</v>
      </c>
    </row>
    <row r="216" spans="1:7">
      <c r="C216" s="178">
        <v>4</v>
      </c>
      <c r="D216" s="184">
        <f t="shared" si="33"/>
        <v>139.69999999999999</v>
      </c>
      <c r="E216" s="171">
        <v>115.87</v>
      </c>
      <c r="F216" s="170">
        <f t="shared" si="34"/>
        <v>101.85</v>
      </c>
      <c r="G216" s="170">
        <f t="shared" si="35"/>
        <v>84.330185999999998</v>
      </c>
    </row>
    <row r="217" spans="1:7">
      <c r="C217" s="178">
        <v>5</v>
      </c>
      <c r="D217" s="184">
        <f t="shared" si="33"/>
        <v>139.97</v>
      </c>
      <c r="E217" s="171">
        <v>116.09</v>
      </c>
      <c r="F217" s="170">
        <f t="shared" si="34"/>
        <v>102.04</v>
      </c>
      <c r="G217" s="170">
        <f t="shared" si="35"/>
        <v>84.490302</v>
      </c>
    </row>
    <row r="218" spans="1:7">
      <c r="C218" s="178">
        <v>6</v>
      </c>
      <c r="D218" s="184">
        <f t="shared" si="33"/>
        <v>140.21</v>
      </c>
      <c r="E218" s="171">
        <v>116.29</v>
      </c>
      <c r="F218" s="170">
        <f t="shared" si="34"/>
        <v>102.22</v>
      </c>
      <c r="G218" s="170">
        <f t="shared" si="35"/>
        <v>84.635862000000003</v>
      </c>
    </row>
    <row r="219" spans="1:7">
      <c r="C219" s="178">
        <v>7</v>
      </c>
      <c r="D219" s="184">
        <f t="shared" si="33"/>
        <v>140.78</v>
      </c>
      <c r="E219" s="171">
        <v>116.76</v>
      </c>
      <c r="F219" s="170">
        <f t="shared" si="34"/>
        <v>102.63</v>
      </c>
      <c r="G219" s="170">
        <f t="shared" si="35"/>
        <v>84.977928000000006</v>
      </c>
    </row>
    <row r="220" spans="1:7">
      <c r="C220" s="178">
        <v>8</v>
      </c>
      <c r="D220" s="184">
        <f t="shared" si="33"/>
        <v>140.80000000000001</v>
      </c>
      <c r="E220" s="171">
        <v>116.78</v>
      </c>
      <c r="F220" s="170">
        <f t="shared" si="34"/>
        <v>102.65</v>
      </c>
      <c r="G220" s="170">
        <f t="shared" si="35"/>
        <v>84.992484000000005</v>
      </c>
    </row>
    <row r="221" spans="1:7">
      <c r="C221" s="178">
        <v>9</v>
      </c>
      <c r="D221" s="184">
        <f t="shared" si="33"/>
        <v>140.63999999999999</v>
      </c>
      <c r="E221" s="171">
        <v>116.65</v>
      </c>
      <c r="F221" s="170">
        <f t="shared" si="34"/>
        <v>102.54</v>
      </c>
      <c r="G221" s="170">
        <f t="shared" si="35"/>
        <v>84.897869999999998</v>
      </c>
    </row>
    <row r="222" spans="1:7">
      <c r="C222" s="178">
        <v>10</v>
      </c>
      <c r="D222" s="184">
        <f t="shared" si="33"/>
        <v>140.41999999999999</v>
      </c>
      <c r="E222" s="171">
        <v>116.46</v>
      </c>
      <c r="F222" s="170">
        <f t="shared" si="34"/>
        <v>102.37</v>
      </c>
      <c r="G222" s="170">
        <f t="shared" si="35"/>
        <v>84.759587999999994</v>
      </c>
    </row>
    <row r="223" spans="1:7">
      <c r="C223" s="178">
        <v>11</v>
      </c>
      <c r="D223" s="184">
        <f t="shared" si="33"/>
        <v>140.85</v>
      </c>
      <c r="E223" s="171">
        <v>116.82</v>
      </c>
      <c r="F223" s="170">
        <f t="shared" si="34"/>
        <v>102.68</v>
      </c>
      <c r="G223" s="170">
        <f t="shared" si="35"/>
        <v>85.021596000000002</v>
      </c>
    </row>
    <row r="224" spans="1:7">
      <c r="C224" s="178">
        <v>12</v>
      </c>
      <c r="D224" s="184">
        <f t="shared" si="33"/>
        <v>140.96</v>
      </c>
      <c r="E224" s="171">
        <v>116.91</v>
      </c>
      <c r="F224" s="170">
        <f t="shared" si="34"/>
        <v>102.76</v>
      </c>
      <c r="G224" s="170">
        <f>E224*0.7278</f>
        <v>85.087097999999997</v>
      </c>
    </row>
    <row r="225" spans="1:7">
      <c r="B225" s="163" t="s">
        <v>242</v>
      </c>
      <c r="D225" s="181">
        <f>AVERAGE(D213:D224)</f>
        <v>140.11083333333332</v>
      </c>
      <c r="E225" s="181">
        <f>AVERAGE(E213:E224)</f>
        <v>116.2075</v>
      </c>
      <c r="F225" s="181">
        <f>AVERAGE(F213:F224)</f>
        <v>102.14583333333333</v>
      </c>
      <c r="G225" s="181">
        <f>AVERAGE(G213:G224)</f>
        <v>84.575818500000011</v>
      </c>
    </row>
    <row r="229" spans="1:7">
      <c r="A229" s="453">
        <v>2006</v>
      </c>
      <c r="B229" s="453"/>
    </row>
    <row r="230" spans="1:7">
      <c r="B230" s="172" t="s">
        <v>240</v>
      </c>
      <c r="D230" s="174">
        <v>1988</v>
      </c>
      <c r="E230" s="175">
        <v>1996</v>
      </c>
      <c r="F230" s="175">
        <v>2004</v>
      </c>
      <c r="G230" s="176">
        <v>2013</v>
      </c>
    </row>
    <row r="231" spans="1:7">
      <c r="B231" s="177" t="s">
        <v>241</v>
      </c>
      <c r="C231" s="178">
        <v>1</v>
      </c>
      <c r="D231" s="184">
        <f t="shared" ref="D231:D242" si="36">ROUND($F231*1.3717,2)</f>
        <v>141.04</v>
      </c>
      <c r="E231" s="185">
        <f t="shared" ref="E231:E242" si="37">ROUND($F231*1.1377,2)</f>
        <v>116.98</v>
      </c>
      <c r="F231" s="171">
        <v>102.82</v>
      </c>
      <c r="G231" s="185">
        <f t="shared" ref="G231:G241" si="38">F231*0.828</f>
        <v>85.134959999999992</v>
      </c>
    </row>
    <row r="232" spans="1:7">
      <c r="C232" s="178">
        <v>2</v>
      </c>
      <c r="D232" s="184">
        <f t="shared" si="36"/>
        <v>141.71</v>
      </c>
      <c r="E232" s="185">
        <f t="shared" si="37"/>
        <v>117.54</v>
      </c>
      <c r="F232" s="171">
        <v>103.31</v>
      </c>
      <c r="G232" s="185">
        <f t="shared" si="38"/>
        <v>85.540679999999995</v>
      </c>
    </row>
    <row r="233" spans="1:7">
      <c r="C233" s="178">
        <v>3</v>
      </c>
      <c r="D233" s="184">
        <f t="shared" si="36"/>
        <v>141.6</v>
      </c>
      <c r="E233" s="185">
        <f t="shared" si="37"/>
        <v>117.44</v>
      </c>
      <c r="F233" s="171">
        <v>103.23</v>
      </c>
      <c r="G233" s="185">
        <f t="shared" si="38"/>
        <v>85.474440000000001</v>
      </c>
    </row>
    <row r="234" spans="1:7">
      <c r="C234" s="178">
        <v>4</v>
      </c>
      <c r="D234" s="184">
        <f t="shared" si="36"/>
        <v>142.11000000000001</v>
      </c>
      <c r="E234" s="185">
        <f t="shared" si="37"/>
        <v>117.87</v>
      </c>
      <c r="F234" s="171">
        <v>103.6</v>
      </c>
      <c r="G234" s="185">
        <f t="shared" si="38"/>
        <v>85.780799999999985</v>
      </c>
    </row>
    <row r="235" spans="1:7">
      <c r="C235" s="178">
        <v>5</v>
      </c>
      <c r="D235" s="184">
        <f t="shared" si="36"/>
        <v>142.59</v>
      </c>
      <c r="E235" s="185">
        <f t="shared" si="37"/>
        <v>118.26</v>
      </c>
      <c r="F235" s="171">
        <v>103.95</v>
      </c>
      <c r="G235" s="185">
        <f t="shared" si="38"/>
        <v>86.070599999999999</v>
      </c>
    </row>
    <row r="236" spans="1:7">
      <c r="C236" s="178">
        <v>6</v>
      </c>
      <c r="D236" s="184">
        <f t="shared" si="36"/>
        <v>142.56</v>
      </c>
      <c r="E236" s="185">
        <f t="shared" si="37"/>
        <v>118.24</v>
      </c>
      <c r="F236" s="171">
        <v>103.93</v>
      </c>
      <c r="G236" s="185">
        <f t="shared" si="38"/>
        <v>86.054040000000001</v>
      </c>
    </row>
    <row r="237" spans="1:7">
      <c r="C237" s="178">
        <v>7</v>
      </c>
      <c r="D237" s="184">
        <f t="shared" si="36"/>
        <v>143</v>
      </c>
      <c r="E237" s="185">
        <f t="shared" si="37"/>
        <v>118.61</v>
      </c>
      <c r="F237" s="171">
        <v>104.25</v>
      </c>
      <c r="G237" s="185">
        <f t="shared" si="38"/>
        <v>86.319000000000003</v>
      </c>
    </row>
    <row r="238" spans="1:7">
      <c r="C238" s="178">
        <v>8</v>
      </c>
      <c r="D238" s="184">
        <f t="shared" si="36"/>
        <v>143.18</v>
      </c>
      <c r="E238" s="185">
        <f t="shared" si="37"/>
        <v>118.75</v>
      </c>
      <c r="F238" s="171">
        <v>104.38</v>
      </c>
      <c r="G238" s="185">
        <f t="shared" si="38"/>
        <v>86.426639999999992</v>
      </c>
    </row>
    <row r="239" spans="1:7">
      <c r="C239" s="178">
        <v>9</v>
      </c>
      <c r="D239" s="184">
        <f t="shared" si="36"/>
        <v>143.15</v>
      </c>
      <c r="E239" s="185">
        <f t="shared" si="37"/>
        <v>118.73</v>
      </c>
      <c r="F239" s="171">
        <v>104.36</v>
      </c>
      <c r="G239" s="185">
        <f t="shared" si="38"/>
        <v>86.410079999999994</v>
      </c>
    </row>
    <row r="240" spans="1:7">
      <c r="C240" s="178">
        <v>10</v>
      </c>
      <c r="D240" s="184">
        <f t="shared" si="36"/>
        <v>143.1</v>
      </c>
      <c r="E240" s="185">
        <f t="shared" si="37"/>
        <v>118.68</v>
      </c>
      <c r="F240" s="171">
        <v>104.32</v>
      </c>
      <c r="G240" s="185">
        <f t="shared" si="38"/>
        <v>86.376959999999997</v>
      </c>
    </row>
    <row r="241" spans="1:7">
      <c r="C241" s="178">
        <v>11</v>
      </c>
      <c r="D241" s="184">
        <f t="shared" si="36"/>
        <v>143.44999999999999</v>
      </c>
      <c r="E241" s="185">
        <f t="shared" si="37"/>
        <v>118.98</v>
      </c>
      <c r="F241" s="171">
        <v>104.58</v>
      </c>
      <c r="G241" s="185">
        <f t="shared" si="38"/>
        <v>86.59223999999999</v>
      </c>
    </row>
    <row r="242" spans="1:7">
      <c r="C242" s="178">
        <v>12</v>
      </c>
      <c r="D242" s="184">
        <f t="shared" si="36"/>
        <v>143.59</v>
      </c>
      <c r="E242" s="185">
        <f t="shared" si="37"/>
        <v>119.09</v>
      </c>
      <c r="F242" s="171">
        <v>104.68</v>
      </c>
      <c r="G242" s="185">
        <f>F242*0.828</f>
        <v>86.675039999999996</v>
      </c>
    </row>
    <row r="243" spans="1:7">
      <c r="B243" s="163" t="s">
        <v>242</v>
      </c>
      <c r="D243" s="181">
        <f>AVERAGE(D231:D242)</f>
        <v>142.59</v>
      </c>
      <c r="E243" s="181">
        <f>AVERAGE(E231:E242)</f>
        <v>118.26416666666667</v>
      </c>
      <c r="F243" s="181">
        <f>AVERAGE(F231:F242)</f>
        <v>103.95083333333334</v>
      </c>
      <c r="G243" s="181">
        <f>AVERAGE(G231:G242)</f>
        <v>86.071289999999991</v>
      </c>
    </row>
    <row r="247" spans="1:7">
      <c r="A247" s="453">
        <v>2007</v>
      </c>
      <c r="B247" s="453"/>
    </row>
    <row r="248" spans="1:7">
      <c r="B248" s="172" t="s">
        <v>240</v>
      </c>
      <c r="D248" s="174">
        <v>1988</v>
      </c>
      <c r="E248" s="175">
        <v>1996</v>
      </c>
      <c r="F248" s="175">
        <v>2004</v>
      </c>
      <c r="G248" s="176">
        <v>2013</v>
      </c>
    </row>
    <row r="249" spans="1:7">
      <c r="B249" s="177" t="s">
        <v>241</v>
      </c>
      <c r="C249" s="178">
        <v>1</v>
      </c>
      <c r="D249" s="184">
        <f t="shared" ref="D249:D260" si="39">ROUND($F249*1.3717,2)</f>
        <v>143.91999999999999</v>
      </c>
      <c r="E249" s="185">
        <f t="shared" ref="E249:E260" si="40">ROUND($F249*1.1377,2)</f>
        <v>119.37</v>
      </c>
      <c r="F249" s="171">
        <v>104.92</v>
      </c>
      <c r="G249" s="185">
        <f t="shared" ref="G249:G259" si="41">F249*0.828</f>
        <v>86.87375999999999</v>
      </c>
    </row>
    <row r="250" spans="1:7">
      <c r="C250" s="178">
        <v>2</v>
      </c>
      <c r="D250" s="184">
        <f t="shared" si="39"/>
        <v>144.66</v>
      </c>
      <c r="E250" s="185">
        <f t="shared" si="40"/>
        <v>119.98</v>
      </c>
      <c r="F250" s="171">
        <v>105.46</v>
      </c>
      <c r="G250" s="185">
        <f t="shared" si="41"/>
        <v>87.320879999999988</v>
      </c>
    </row>
    <row r="251" spans="1:7">
      <c r="C251" s="178">
        <v>3</v>
      </c>
      <c r="D251" s="184">
        <f t="shared" si="39"/>
        <v>144.34</v>
      </c>
      <c r="E251" s="185">
        <f t="shared" si="40"/>
        <v>119.72</v>
      </c>
      <c r="F251" s="171">
        <v>105.23</v>
      </c>
      <c r="G251" s="185">
        <f t="shared" si="41"/>
        <v>87.130439999999993</v>
      </c>
    </row>
    <row r="252" spans="1:7">
      <c r="C252" s="178">
        <v>4</v>
      </c>
      <c r="D252" s="184">
        <f t="shared" si="39"/>
        <v>144.82</v>
      </c>
      <c r="E252" s="185">
        <f t="shared" si="40"/>
        <v>120.12</v>
      </c>
      <c r="F252" s="171">
        <v>105.58</v>
      </c>
      <c r="G252" s="185">
        <f t="shared" si="41"/>
        <v>87.420239999999993</v>
      </c>
    </row>
    <row r="253" spans="1:7">
      <c r="C253" s="178">
        <v>5</v>
      </c>
      <c r="D253" s="184">
        <f t="shared" si="39"/>
        <v>144.49</v>
      </c>
      <c r="E253" s="185">
        <f t="shared" si="40"/>
        <v>119.85</v>
      </c>
      <c r="F253" s="171">
        <v>105.34</v>
      </c>
      <c r="G253" s="185">
        <f t="shared" si="41"/>
        <v>87.221519999999998</v>
      </c>
    </row>
    <row r="254" spans="1:7">
      <c r="C254" s="178">
        <v>6</v>
      </c>
      <c r="D254" s="184">
        <f t="shared" si="39"/>
        <v>144.41</v>
      </c>
      <c r="E254" s="185">
        <f t="shared" si="40"/>
        <v>119.78</v>
      </c>
      <c r="F254" s="171">
        <v>105.28</v>
      </c>
      <c r="G254" s="185">
        <f t="shared" si="41"/>
        <v>87.171840000000003</v>
      </c>
    </row>
    <row r="255" spans="1:7">
      <c r="C255" s="178">
        <v>7</v>
      </c>
      <c r="D255" s="184">
        <f t="shared" si="39"/>
        <v>144.99</v>
      </c>
      <c r="E255" s="185">
        <f t="shared" si="40"/>
        <v>120.25</v>
      </c>
      <c r="F255" s="171">
        <v>105.7</v>
      </c>
      <c r="G255" s="185">
        <f t="shared" si="41"/>
        <v>87.519599999999997</v>
      </c>
    </row>
    <row r="256" spans="1:7">
      <c r="C256" s="178">
        <v>8</v>
      </c>
      <c r="D256" s="184">
        <f t="shared" si="39"/>
        <v>144.94999999999999</v>
      </c>
      <c r="E256" s="185">
        <f t="shared" si="40"/>
        <v>120.22</v>
      </c>
      <c r="F256" s="171">
        <v>105.67</v>
      </c>
      <c r="G256" s="185">
        <f t="shared" si="41"/>
        <v>87.494759999999999</v>
      </c>
    </row>
    <row r="257" spans="1:7">
      <c r="C257" s="178">
        <v>9</v>
      </c>
      <c r="D257" s="184">
        <f t="shared" si="39"/>
        <v>145</v>
      </c>
      <c r="E257" s="185">
        <f t="shared" si="40"/>
        <v>120.27</v>
      </c>
      <c r="F257" s="171">
        <v>105.71</v>
      </c>
      <c r="G257" s="185">
        <f t="shared" si="41"/>
        <v>87.527879999999996</v>
      </c>
    </row>
    <row r="258" spans="1:7">
      <c r="C258" s="178">
        <v>10</v>
      </c>
      <c r="D258" s="184">
        <f t="shared" si="39"/>
        <v>145.66</v>
      </c>
      <c r="E258" s="185">
        <f t="shared" si="40"/>
        <v>120.81</v>
      </c>
      <c r="F258" s="171">
        <v>106.19</v>
      </c>
      <c r="G258" s="185">
        <f t="shared" si="41"/>
        <v>87.925319999999999</v>
      </c>
    </row>
    <row r="259" spans="1:7">
      <c r="C259" s="178">
        <v>11</v>
      </c>
      <c r="D259" s="184">
        <f t="shared" si="39"/>
        <v>146.68</v>
      </c>
      <c r="E259" s="185">
        <f t="shared" si="40"/>
        <v>121.65</v>
      </c>
      <c r="F259" s="171">
        <v>106.93</v>
      </c>
      <c r="G259" s="185">
        <f t="shared" si="41"/>
        <v>88.538039999999995</v>
      </c>
    </row>
    <row r="260" spans="1:7">
      <c r="C260" s="178">
        <v>12</v>
      </c>
      <c r="D260" s="184">
        <f t="shared" si="39"/>
        <v>147.38</v>
      </c>
      <c r="E260" s="185">
        <f t="shared" si="40"/>
        <v>122.23</v>
      </c>
      <c r="F260" s="171">
        <v>107.44</v>
      </c>
      <c r="G260" s="185">
        <f>F260*0.828</f>
        <v>88.960319999999996</v>
      </c>
    </row>
    <row r="261" spans="1:7">
      <c r="B261" s="163" t="s">
        <v>242</v>
      </c>
      <c r="D261" s="181">
        <f>AVERAGE(D249:D260)</f>
        <v>145.10833333333335</v>
      </c>
      <c r="E261" s="181">
        <f>AVERAGE(E249:E260)</f>
        <v>120.35416666666669</v>
      </c>
      <c r="F261" s="181">
        <f>AVERAGE(F249:F260)</f>
        <v>105.78750000000001</v>
      </c>
      <c r="G261" s="181">
        <f>AVERAGE(G249:G260)</f>
        <v>87.592049999999986</v>
      </c>
    </row>
    <row r="265" spans="1:7">
      <c r="A265" s="453">
        <v>2008</v>
      </c>
      <c r="B265" s="453"/>
    </row>
    <row r="266" spans="1:7">
      <c r="B266" s="172" t="s">
        <v>240</v>
      </c>
      <c r="D266" s="174">
        <v>1988</v>
      </c>
      <c r="E266" s="175">
        <v>1996</v>
      </c>
      <c r="F266" s="175">
        <v>2004</v>
      </c>
      <c r="G266" s="176">
        <v>2013</v>
      </c>
    </row>
    <row r="267" spans="1:7">
      <c r="B267" s="177" t="s">
        <v>241</v>
      </c>
      <c r="C267" s="178">
        <v>1</v>
      </c>
      <c r="D267" s="184">
        <f t="shared" ref="D267:D278" si="42">ROUND($F267*1.3717,2)</f>
        <v>147.94</v>
      </c>
      <c r="E267" s="185">
        <f t="shared" ref="E267:E278" si="43">ROUND($F267*1.1377,2)</f>
        <v>122.7</v>
      </c>
      <c r="F267" s="171">
        <v>107.85</v>
      </c>
      <c r="G267" s="185">
        <f t="shared" ref="G267:G277" si="44">F267*0.828</f>
        <v>89.299799999999991</v>
      </c>
    </row>
    <row r="268" spans="1:7">
      <c r="C268" s="178">
        <v>2</v>
      </c>
      <c r="D268" s="184">
        <f t="shared" si="42"/>
        <v>149.12</v>
      </c>
      <c r="E268" s="185">
        <f t="shared" si="43"/>
        <v>123.68</v>
      </c>
      <c r="F268" s="171">
        <v>108.71</v>
      </c>
      <c r="G268" s="185">
        <f t="shared" si="44"/>
        <v>90.011879999999991</v>
      </c>
    </row>
    <row r="269" spans="1:7">
      <c r="C269" s="178">
        <v>3</v>
      </c>
      <c r="D269" s="184">
        <f t="shared" si="42"/>
        <v>149.94999999999999</v>
      </c>
      <c r="E269" s="185">
        <f t="shared" si="43"/>
        <v>124.37</v>
      </c>
      <c r="F269" s="171">
        <v>109.32</v>
      </c>
      <c r="G269" s="185">
        <f t="shared" si="44"/>
        <v>90.516959999999983</v>
      </c>
    </row>
    <row r="270" spans="1:7">
      <c r="C270" s="178">
        <v>4</v>
      </c>
      <c r="D270" s="184">
        <f t="shared" si="42"/>
        <v>150.19</v>
      </c>
      <c r="E270" s="185">
        <f t="shared" si="43"/>
        <v>124.57</v>
      </c>
      <c r="F270" s="171">
        <v>109.49</v>
      </c>
      <c r="G270" s="185">
        <f t="shared" si="44"/>
        <v>90.657719999999998</v>
      </c>
    </row>
    <row r="271" spans="1:7">
      <c r="C271" s="178">
        <v>5</v>
      </c>
      <c r="D271" s="184">
        <f t="shared" si="42"/>
        <v>151.16</v>
      </c>
      <c r="E271" s="185">
        <f t="shared" si="43"/>
        <v>125.37</v>
      </c>
      <c r="F271" s="171">
        <v>110.2</v>
      </c>
      <c r="G271" s="185">
        <f t="shared" si="44"/>
        <v>91.245599999999996</v>
      </c>
    </row>
    <row r="272" spans="1:7">
      <c r="C272" s="178">
        <v>6</v>
      </c>
      <c r="D272" s="184">
        <f t="shared" si="42"/>
        <v>151.74</v>
      </c>
      <c r="E272" s="185">
        <f t="shared" si="43"/>
        <v>125.85</v>
      </c>
      <c r="F272" s="171">
        <v>110.62</v>
      </c>
      <c r="G272" s="185">
        <f t="shared" si="44"/>
        <v>91.593360000000004</v>
      </c>
    </row>
    <row r="273" spans="1:7">
      <c r="C273" s="178">
        <v>7</v>
      </c>
      <c r="D273" s="184">
        <f t="shared" si="42"/>
        <v>152.56</v>
      </c>
      <c r="E273" s="185">
        <f t="shared" si="43"/>
        <v>126.53</v>
      </c>
      <c r="F273" s="171">
        <v>111.22</v>
      </c>
      <c r="G273" s="185">
        <f t="shared" si="44"/>
        <v>92.090159999999997</v>
      </c>
    </row>
    <row r="274" spans="1:7">
      <c r="C274" s="178">
        <v>8</v>
      </c>
      <c r="D274" s="184">
        <f t="shared" si="42"/>
        <v>152.09</v>
      </c>
      <c r="E274" s="185">
        <f t="shared" si="43"/>
        <v>126.15</v>
      </c>
      <c r="F274" s="171">
        <v>110.88</v>
      </c>
      <c r="G274" s="185">
        <f t="shared" si="44"/>
        <v>91.808639999999997</v>
      </c>
    </row>
    <row r="275" spans="1:7">
      <c r="C275" s="178">
        <v>9</v>
      </c>
      <c r="D275" s="184">
        <f t="shared" si="42"/>
        <v>152.46</v>
      </c>
      <c r="E275" s="185">
        <f t="shared" si="43"/>
        <v>126.46</v>
      </c>
      <c r="F275" s="171">
        <v>111.15</v>
      </c>
      <c r="G275" s="185">
        <f t="shared" si="44"/>
        <v>92.032200000000003</v>
      </c>
    </row>
    <row r="276" spans="1:7">
      <c r="C276" s="178">
        <v>10</v>
      </c>
      <c r="D276" s="184">
        <f t="shared" si="42"/>
        <v>152.66</v>
      </c>
      <c r="E276" s="185">
        <f t="shared" si="43"/>
        <v>126.61</v>
      </c>
      <c r="F276" s="171">
        <v>111.29</v>
      </c>
      <c r="G276" s="185">
        <f t="shared" si="44"/>
        <v>92.148120000000006</v>
      </c>
    </row>
    <row r="277" spans="1:7">
      <c r="C277" s="178">
        <v>11</v>
      </c>
      <c r="D277" s="184">
        <f t="shared" si="42"/>
        <v>152.38</v>
      </c>
      <c r="E277" s="185">
        <f t="shared" si="43"/>
        <v>126.39</v>
      </c>
      <c r="F277" s="171">
        <v>111.09</v>
      </c>
      <c r="G277" s="185">
        <f t="shared" si="44"/>
        <v>91.982519999999994</v>
      </c>
    </row>
    <row r="278" spans="1:7">
      <c r="C278" s="178">
        <v>12</v>
      </c>
      <c r="D278" s="184">
        <f t="shared" si="42"/>
        <v>152.59</v>
      </c>
      <c r="E278" s="185">
        <f t="shared" si="43"/>
        <v>126.56</v>
      </c>
      <c r="F278" s="171">
        <v>111.24</v>
      </c>
      <c r="G278" s="185">
        <f>F278*0.828</f>
        <v>92.106719999999996</v>
      </c>
    </row>
    <row r="279" spans="1:7">
      <c r="B279" s="163" t="s">
        <v>242</v>
      </c>
      <c r="D279" s="181">
        <f>AVERAGE(D267:D278)</f>
        <v>151.23666666666665</v>
      </c>
      <c r="E279" s="181">
        <f>AVERAGE(E267:E278)</f>
        <v>125.43666666666667</v>
      </c>
      <c r="F279" s="181">
        <f>AVERAGE(F267:F278)</f>
        <v>110.255</v>
      </c>
      <c r="G279" s="181">
        <f>AVERAGE(G267:G278)</f>
        <v>91.291139999999984</v>
      </c>
    </row>
    <row r="283" spans="1:7">
      <c r="A283" s="453">
        <v>2009</v>
      </c>
      <c r="B283" s="453"/>
    </row>
    <row r="284" spans="1:7">
      <c r="B284" s="172" t="s">
        <v>240</v>
      </c>
      <c r="D284" s="174">
        <v>1988</v>
      </c>
      <c r="E284" s="175">
        <v>1996</v>
      </c>
      <c r="F284" s="175">
        <v>2004</v>
      </c>
      <c r="G284" s="176">
        <v>2013</v>
      </c>
    </row>
    <row r="285" spans="1:7">
      <c r="B285" s="177" t="s">
        <v>241</v>
      </c>
      <c r="C285" s="178">
        <v>1</v>
      </c>
      <c r="D285" s="184">
        <f t="shared" ref="D285:D296" si="45">ROUND($F285*1.3717,2)</f>
        <v>152.88</v>
      </c>
      <c r="E285" s="185">
        <f t="shared" ref="E285:E296" si="46">ROUND($F285*1.1377,2)</f>
        <v>126.8</v>
      </c>
      <c r="F285" s="171">
        <v>111.45</v>
      </c>
      <c r="G285" s="185">
        <f t="shared" ref="G285:G295" si="47">F285*0.828</f>
        <v>92.280599999999993</v>
      </c>
    </row>
    <row r="286" spans="1:7">
      <c r="C286" s="178">
        <v>2</v>
      </c>
      <c r="D286" s="184">
        <f t="shared" si="45"/>
        <v>153.29</v>
      </c>
      <c r="E286" s="185">
        <f t="shared" si="46"/>
        <v>127.14</v>
      </c>
      <c r="F286" s="171">
        <v>111.75</v>
      </c>
      <c r="G286" s="185">
        <f t="shared" si="47"/>
        <v>92.528999999999996</v>
      </c>
    </row>
    <row r="287" spans="1:7">
      <c r="C287" s="178">
        <v>3</v>
      </c>
      <c r="D287" s="184">
        <f t="shared" si="45"/>
        <v>152.35</v>
      </c>
      <c r="E287" s="185">
        <f t="shared" si="46"/>
        <v>126.36</v>
      </c>
      <c r="F287" s="171">
        <v>111.07</v>
      </c>
      <c r="G287" s="185">
        <f t="shared" si="47"/>
        <v>91.965959999999995</v>
      </c>
    </row>
    <row r="288" spans="1:7">
      <c r="C288" s="178">
        <v>4</v>
      </c>
      <c r="D288" s="184">
        <f t="shared" si="45"/>
        <v>152.49</v>
      </c>
      <c r="E288" s="185">
        <f t="shared" si="46"/>
        <v>126.48</v>
      </c>
      <c r="F288" s="171">
        <v>111.17</v>
      </c>
      <c r="G288" s="185">
        <f t="shared" si="47"/>
        <v>92.048760000000001</v>
      </c>
    </row>
    <row r="289" spans="1:7">
      <c r="C289" s="178">
        <v>5</v>
      </c>
      <c r="D289" s="184">
        <f t="shared" si="45"/>
        <v>152.19999999999999</v>
      </c>
      <c r="E289" s="185">
        <f t="shared" si="46"/>
        <v>126.24</v>
      </c>
      <c r="F289" s="171">
        <v>110.96</v>
      </c>
      <c r="G289" s="185">
        <f t="shared" si="47"/>
        <v>91.87487999999999</v>
      </c>
    </row>
    <row r="290" spans="1:7">
      <c r="C290" s="178">
        <v>6</v>
      </c>
      <c r="D290" s="184">
        <f t="shared" si="45"/>
        <v>151.57</v>
      </c>
      <c r="E290" s="185">
        <f t="shared" si="46"/>
        <v>125.72</v>
      </c>
      <c r="F290" s="171">
        <v>110.5</v>
      </c>
      <c r="G290" s="185">
        <f t="shared" si="47"/>
        <v>91.494</v>
      </c>
    </row>
    <row r="291" spans="1:7">
      <c r="C291" s="178">
        <v>7</v>
      </c>
      <c r="D291" s="184">
        <f t="shared" si="45"/>
        <v>151.55000000000001</v>
      </c>
      <c r="E291" s="185">
        <f t="shared" si="46"/>
        <v>125.69</v>
      </c>
      <c r="F291" s="171">
        <v>110.48</v>
      </c>
      <c r="G291" s="185">
        <f t="shared" si="47"/>
        <v>91.477440000000001</v>
      </c>
    </row>
    <row r="292" spans="1:7">
      <c r="C292" s="178">
        <v>8</v>
      </c>
      <c r="D292" s="184">
        <f t="shared" si="45"/>
        <v>151.79</v>
      </c>
      <c r="E292" s="185">
        <f t="shared" si="46"/>
        <v>125.9</v>
      </c>
      <c r="F292" s="171">
        <v>110.66</v>
      </c>
      <c r="G292" s="185">
        <f t="shared" si="47"/>
        <v>91.626479999999987</v>
      </c>
    </row>
    <row r="293" spans="1:7">
      <c r="C293" s="178">
        <v>9</v>
      </c>
      <c r="D293" s="184">
        <f t="shared" si="45"/>
        <v>151.52000000000001</v>
      </c>
      <c r="E293" s="185">
        <f t="shared" si="46"/>
        <v>125.67</v>
      </c>
      <c r="F293" s="171">
        <v>110.46</v>
      </c>
      <c r="G293" s="185">
        <f t="shared" si="47"/>
        <v>91.460879999999989</v>
      </c>
    </row>
    <row r="294" spans="1:7">
      <c r="C294" s="178">
        <v>10</v>
      </c>
      <c r="D294" s="184">
        <f t="shared" si="45"/>
        <v>151.76</v>
      </c>
      <c r="E294" s="185">
        <f t="shared" si="46"/>
        <v>125.88</v>
      </c>
      <c r="F294" s="186">
        <v>110.64</v>
      </c>
      <c r="G294" s="185">
        <f t="shared" si="47"/>
        <v>91.609920000000002</v>
      </c>
    </row>
    <row r="295" spans="1:7">
      <c r="C295" s="178">
        <v>11</v>
      </c>
      <c r="D295" s="184">
        <f t="shared" si="45"/>
        <v>151.91999999999999</v>
      </c>
      <c r="E295" s="185">
        <f t="shared" si="46"/>
        <v>126</v>
      </c>
      <c r="F295" s="171">
        <v>110.75</v>
      </c>
      <c r="G295" s="185">
        <f t="shared" si="47"/>
        <v>91.700999999999993</v>
      </c>
    </row>
    <row r="296" spans="1:7">
      <c r="C296" s="178">
        <v>12</v>
      </c>
      <c r="D296" s="184">
        <f t="shared" si="45"/>
        <v>152.19999999999999</v>
      </c>
      <c r="E296" s="185">
        <f t="shared" si="46"/>
        <v>126.24</v>
      </c>
      <c r="F296" s="171">
        <v>110.96</v>
      </c>
      <c r="G296" s="185">
        <f>F296*0.828</f>
        <v>91.87487999999999</v>
      </c>
    </row>
    <row r="297" spans="1:7">
      <c r="B297" s="163" t="s">
        <v>242</v>
      </c>
      <c r="D297" s="181">
        <f>AVERAGE(D285:D296)</f>
        <v>152.12666666666667</v>
      </c>
      <c r="E297" s="181">
        <f>AVERAGE(E285:E296)</f>
        <v>126.17666666666668</v>
      </c>
      <c r="F297" s="181">
        <f>AVERAGE(F285:F296)</f>
        <v>110.90416666666668</v>
      </c>
      <c r="G297" s="181">
        <f>AVERAGE(G285:G296)</f>
        <v>91.828649999999996</v>
      </c>
    </row>
    <row r="301" spans="1:7">
      <c r="A301" s="453">
        <v>2010</v>
      </c>
      <c r="B301" s="453"/>
    </row>
    <row r="302" spans="1:7">
      <c r="B302" s="172" t="s">
        <v>240</v>
      </c>
      <c r="D302" s="174">
        <v>1988</v>
      </c>
      <c r="E302" s="175">
        <v>1996</v>
      </c>
      <c r="F302" s="175">
        <v>2004</v>
      </c>
      <c r="G302" s="176">
        <v>2013</v>
      </c>
    </row>
    <row r="303" spans="1:7">
      <c r="B303" s="177" t="s">
        <v>241</v>
      </c>
      <c r="C303" s="178">
        <v>1</v>
      </c>
      <c r="D303" s="184">
        <f t="shared" ref="D303:D314" si="48">ROUND($F303*1.3717,2)</f>
        <v>152.75</v>
      </c>
      <c r="E303" s="185">
        <f t="shared" ref="E303:E314" si="49">ROUND($F303*1.1377,2)</f>
        <v>126.69</v>
      </c>
      <c r="F303" s="171">
        <v>111.36</v>
      </c>
      <c r="G303" s="185">
        <f t="shared" ref="G303:G313" si="50">F303*0.828</f>
        <v>92.20608</v>
      </c>
    </row>
    <row r="304" spans="1:7">
      <c r="C304" s="178">
        <v>2</v>
      </c>
      <c r="D304" s="184">
        <f t="shared" si="48"/>
        <v>153.49</v>
      </c>
      <c r="E304" s="185">
        <f t="shared" si="49"/>
        <v>127.31</v>
      </c>
      <c r="F304" s="171">
        <v>111.9</v>
      </c>
      <c r="G304" s="185">
        <f t="shared" si="50"/>
        <v>92.653199999999998</v>
      </c>
    </row>
    <row r="305" spans="1:7">
      <c r="C305" s="178">
        <v>3</v>
      </c>
      <c r="D305" s="184">
        <f t="shared" si="48"/>
        <v>153.78</v>
      </c>
      <c r="E305" s="185">
        <f t="shared" si="49"/>
        <v>127.55</v>
      </c>
      <c r="F305" s="171">
        <v>112.11</v>
      </c>
      <c r="G305" s="185">
        <f t="shared" si="50"/>
        <v>92.827079999999995</v>
      </c>
    </row>
    <row r="306" spans="1:7">
      <c r="C306" s="178">
        <v>4</v>
      </c>
      <c r="D306" s="184">
        <f t="shared" si="48"/>
        <v>154.1</v>
      </c>
      <c r="E306" s="185">
        <f t="shared" si="49"/>
        <v>127.81</v>
      </c>
      <c r="F306" s="171">
        <v>112.34</v>
      </c>
      <c r="G306" s="185">
        <f t="shared" si="50"/>
        <v>93.017520000000005</v>
      </c>
    </row>
    <row r="307" spans="1:7">
      <c r="C307" s="178">
        <v>5</v>
      </c>
      <c r="D307" s="184">
        <f t="shared" si="48"/>
        <v>154.62</v>
      </c>
      <c r="E307" s="185">
        <f t="shared" si="49"/>
        <v>128.24</v>
      </c>
      <c r="F307" s="171">
        <v>112.72</v>
      </c>
      <c r="G307" s="185">
        <f t="shared" si="50"/>
        <v>93.332159999999988</v>
      </c>
    </row>
    <row r="308" spans="1:7">
      <c r="C308" s="178">
        <v>6</v>
      </c>
      <c r="D308" s="184">
        <f t="shared" si="48"/>
        <v>154.65</v>
      </c>
      <c r="E308" s="185">
        <f t="shared" si="49"/>
        <v>128.26</v>
      </c>
      <c r="F308" s="171">
        <v>112.74</v>
      </c>
      <c r="G308" s="185">
        <f t="shared" si="50"/>
        <v>93.348719999999986</v>
      </c>
    </row>
    <row r="309" spans="1:7">
      <c r="C309" s="178">
        <v>7</v>
      </c>
      <c r="D309" s="184">
        <f t="shared" si="48"/>
        <v>154.81</v>
      </c>
      <c r="E309" s="185">
        <f t="shared" si="49"/>
        <v>128.4</v>
      </c>
      <c r="F309" s="171">
        <v>112.86</v>
      </c>
      <c r="G309" s="185">
        <f t="shared" si="50"/>
        <v>93.44807999999999</v>
      </c>
    </row>
    <row r="310" spans="1:7">
      <c r="C310" s="178">
        <v>8</v>
      </c>
      <c r="D310" s="184">
        <f t="shared" si="48"/>
        <v>154.91999999999999</v>
      </c>
      <c r="E310" s="185">
        <f t="shared" si="49"/>
        <v>128.49</v>
      </c>
      <c r="F310" s="171">
        <v>112.94</v>
      </c>
      <c r="G310" s="185">
        <f t="shared" si="50"/>
        <v>93.514319999999998</v>
      </c>
    </row>
    <row r="311" spans="1:7">
      <c r="C311" s="178">
        <v>9</v>
      </c>
      <c r="D311" s="184">
        <f t="shared" si="48"/>
        <v>155.4</v>
      </c>
      <c r="E311" s="185">
        <f t="shared" si="49"/>
        <v>128.88999999999999</v>
      </c>
      <c r="F311" s="171">
        <v>113.29</v>
      </c>
      <c r="G311" s="185">
        <f t="shared" si="50"/>
        <v>93.804119999999998</v>
      </c>
    </row>
    <row r="312" spans="1:7">
      <c r="C312" s="178">
        <v>10</v>
      </c>
      <c r="D312" s="184">
        <f t="shared" si="48"/>
        <v>155.63</v>
      </c>
      <c r="E312" s="185">
        <f t="shared" si="49"/>
        <v>129.08000000000001</v>
      </c>
      <c r="F312" s="171">
        <v>113.46</v>
      </c>
      <c r="G312" s="185">
        <f t="shared" si="50"/>
        <v>93.944879999999984</v>
      </c>
    </row>
    <row r="313" spans="1:7">
      <c r="C313" s="178">
        <v>11</v>
      </c>
      <c r="D313" s="184">
        <f t="shared" si="48"/>
        <v>155.76</v>
      </c>
      <c r="E313" s="185">
        <f t="shared" si="49"/>
        <v>129.19</v>
      </c>
      <c r="F313" s="171">
        <v>113.55</v>
      </c>
      <c r="G313" s="185">
        <f t="shared" si="50"/>
        <v>94.01939999999999</v>
      </c>
    </row>
    <row r="314" spans="1:7">
      <c r="C314" s="178">
        <v>12</v>
      </c>
      <c r="D314" s="184">
        <f t="shared" si="48"/>
        <v>156.15</v>
      </c>
      <c r="E314" s="185">
        <f t="shared" si="49"/>
        <v>129.52000000000001</v>
      </c>
      <c r="F314" s="171">
        <v>113.84</v>
      </c>
      <c r="G314" s="185">
        <f>F314*0.828</f>
        <v>94.259519999999995</v>
      </c>
    </row>
    <row r="315" spans="1:7">
      <c r="B315" s="163" t="s">
        <v>242</v>
      </c>
      <c r="D315" s="181">
        <f>AVERAGE(D303:D314)</f>
        <v>154.67166666666668</v>
      </c>
      <c r="E315" s="181">
        <f>AVERAGE(E303:E314)</f>
        <v>128.28583333333333</v>
      </c>
      <c r="F315" s="181">
        <f>AVERAGE(F303:F314)</f>
        <v>112.75916666666666</v>
      </c>
      <c r="G315" s="181">
        <f>AVERAGE(G303:G314)</f>
        <v>93.364590000000007</v>
      </c>
    </row>
    <row r="319" spans="1:7">
      <c r="A319" s="453">
        <v>2011</v>
      </c>
      <c r="B319" s="453"/>
    </row>
    <row r="320" spans="1:7">
      <c r="B320" s="172" t="s">
        <v>240</v>
      </c>
      <c r="D320" s="174">
        <v>1988</v>
      </c>
      <c r="E320" s="175">
        <v>1996</v>
      </c>
      <c r="F320" s="175">
        <v>2004</v>
      </c>
      <c r="G320" s="176">
        <v>2013</v>
      </c>
    </row>
    <row r="321" spans="2:7">
      <c r="B321" s="177" t="s">
        <v>241</v>
      </c>
      <c r="C321" s="178">
        <v>1</v>
      </c>
      <c r="D321" s="184">
        <f t="shared" ref="D321:D332" si="51">ROUND($F321*1.3717,2)</f>
        <v>156.9</v>
      </c>
      <c r="E321" s="185">
        <f t="shared" ref="E321:E332" si="52">ROUND($F321*1.1377,2)</f>
        <v>130.13</v>
      </c>
      <c r="F321" s="171">
        <v>114.38</v>
      </c>
      <c r="G321" s="185">
        <f t="shared" ref="G321:G331" si="53">F321*0.828</f>
        <v>94.706639999999993</v>
      </c>
    </row>
    <row r="322" spans="2:7">
      <c r="C322" s="178">
        <v>2</v>
      </c>
      <c r="D322" s="184">
        <f t="shared" si="51"/>
        <v>157.81</v>
      </c>
      <c r="E322" s="185">
        <f t="shared" si="52"/>
        <v>130.88999999999999</v>
      </c>
      <c r="F322" s="171">
        <v>115.05</v>
      </c>
      <c r="G322" s="185">
        <f t="shared" si="53"/>
        <v>95.261399999999995</v>
      </c>
    </row>
    <row r="323" spans="2:7">
      <c r="C323" s="178">
        <v>3</v>
      </c>
      <c r="D323" s="184">
        <f t="shared" si="51"/>
        <v>158.28</v>
      </c>
      <c r="E323" s="185">
        <f t="shared" si="52"/>
        <v>131.28</v>
      </c>
      <c r="F323" s="171">
        <v>115.39</v>
      </c>
      <c r="G323" s="185">
        <f t="shared" si="53"/>
        <v>95.542919999999995</v>
      </c>
    </row>
    <row r="324" spans="2:7">
      <c r="C324" s="178">
        <v>4</v>
      </c>
      <c r="D324" s="184">
        <f t="shared" si="51"/>
        <v>158.53</v>
      </c>
      <c r="E324" s="185">
        <f t="shared" si="52"/>
        <v>131.47999999999999</v>
      </c>
      <c r="F324" s="171">
        <v>115.57</v>
      </c>
      <c r="G324" s="185">
        <f t="shared" si="53"/>
        <v>95.691959999999995</v>
      </c>
    </row>
    <row r="325" spans="2:7">
      <c r="C325" s="178">
        <v>5</v>
      </c>
      <c r="D325" s="184">
        <f t="shared" si="51"/>
        <v>159.09</v>
      </c>
      <c r="E325" s="185">
        <f t="shared" si="52"/>
        <v>131.94999999999999</v>
      </c>
      <c r="F325" s="171">
        <v>115.98</v>
      </c>
      <c r="G325" s="185">
        <f t="shared" si="53"/>
        <v>96.031440000000003</v>
      </c>
    </row>
    <row r="326" spans="2:7">
      <c r="C326" s="178">
        <v>6</v>
      </c>
      <c r="D326" s="184">
        <f t="shared" si="51"/>
        <v>159.71</v>
      </c>
      <c r="E326" s="185">
        <f t="shared" si="52"/>
        <v>132.46</v>
      </c>
      <c r="F326" s="171">
        <v>116.43</v>
      </c>
      <c r="G326" s="185">
        <f t="shared" si="53"/>
        <v>96.404039999999995</v>
      </c>
    </row>
    <row r="327" spans="2:7">
      <c r="C327" s="178">
        <v>7</v>
      </c>
      <c r="D327" s="184">
        <f t="shared" si="51"/>
        <v>159.94999999999999</v>
      </c>
      <c r="E327" s="185">
        <f t="shared" si="52"/>
        <v>132.66999999999999</v>
      </c>
      <c r="F327" s="171">
        <v>116.61</v>
      </c>
      <c r="G327" s="185">
        <f t="shared" si="53"/>
        <v>96.553079999999994</v>
      </c>
    </row>
    <row r="328" spans="2:7">
      <c r="C328" s="178">
        <v>8</v>
      </c>
      <c r="D328" s="184">
        <f t="shared" si="51"/>
        <v>159.79</v>
      </c>
      <c r="E328" s="185">
        <f t="shared" si="52"/>
        <v>132.53</v>
      </c>
      <c r="F328" s="171">
        <v>116.49</v>
      </c>
      <c r="G328" s="185">
        <f t="shared" si="53"/>
        <v>96.45371999999999</v>
      </c>
    </row>
    <row r="329" spans="2:7">
      <c r="C329" s="178">
        <v>9</v>
      </c>
      <c r="D329" s="184">
        <f t="shared" si="51"/>
        <v>160.12</v>
      </c>
      <c r="E329" s="185">
        <f t="shared" si="52"/>
        <v>132.80000000000001</v>
      </c>
      <c r="F329" s="171">
        <v>116.73</v>
      </c>
      <c r="G329" s="185">
        <f t="shared" si="53"/>
        <v>96.652439999999999</v>
      </c>
    </row>
    <row r="330" spans="2:7">
      <c r="C330" s="178">
        <v>10</v>
      </c>
      <c r="D330" s="184">
        <f t="shared" si="51"/>
        <v>160.43</v>
      </c>
      <c r="E330" s="185">
        <f t="shared" si="52"/>
        <v>133.07</v>
      </c>
      <c r="F330" s="171">
        <v>116.96</v>
      </c>
      <c r="G330" s="185">
        <f t="shared" si="53"/>
        <v>96.842879999999994</v>
      </c>
    </row>
    <row r="331" spans="2:7">
      <c r="C331" s="178">
        <v>11</v>
      </c>
      <c r="D331" s="184">
        <f t="shared" si="51"/>
        <v>161.04</v>
      </c>
      <c r="E331" s="185">
        <f t="shared" si="52"/>
        <v>133.57</v>
      </c>
      <c r="F331" s="171">
        <v>117.4</v>
      </c>
      <c r="G331" s="185">
        <f t="shared" si="53"/>
        <v>97.2072</v>
      </c>
    </row>
    <row r="332" spans="2:7">
      <c r="C332" s="178">
        <v>12</v>
      </c>
      <c r="D332" s="184">
        <f t="shared" si="51"/>
        <v>161.19999999999999</v>
      </c>
      <c r="E332" s="185">
        <f t="shared" si="52"/>
        <v>133.69999999999999</v>
      </c>
      <c r="F332" s="171">
        <v>117.52</v>
      </c>
      <c r="G332" s="185">
        <f>F332*0.828</f>
        <v>97.30655999999999</v>
      </c>
    </row>
    <row r="333" spans="2:7">
      <c r="B333" s="163" t="s">
        <v>242</v>
      </c>
      <c r="D333" s="181">
        <f>AVERAGE(D321:D332)</f>
        <v>159.40416666666667</v>
      </c>
      <c r="E333" s="181">
        <f>AVERAGE(E321:E332)</f>
        <v>132.21083333333334</v>
      </c>
      <c r="F333" s="181">
        <f>AVERAGE(F321:F332)</f>
        <v>116.20916666666666</v>
      </c>
      <c r="G333" s="181">
        <f>AVERAGE(G321:G332)</f>
        <v>96.221189999999993</v>
      </c>
    </row>
    <row r="337" spans="1:16">
      <c r="A337" s="453">
        <v>2012</v>
      </c>
      <c r="B337" s="453"/>
      <c r="J337" s="453" t="s">
        <v>257</v>
      </c>
      <c r="K337" s="453"/>
      <c r="M337" s="169"/>
    </row>
    <row r="338" spans="1:16">
      <c r="B338" s="172" t="s">
        <v>240</v>
      </c>
      <c r="D338" s="174">
        <v>1988</v>
      </c>
      <c r="E338" s="175">
        <v>1996</v>
      </c>
      <c r="F338" s="175">
        <v>2004</v>
      </c>
      <c r="G338" s="176">
        <v>2013</v>
      </c>
      <c r="J338" s="167"/>
      <c r="K338" s="172" t="s">
        <v>240</v>
      </c>
      <c r="M338" s="174">
        <v>1988</v>
      </c>
      <c r="N338" s="175">
        <v>1996</v>
      </c>
      <c r="O338" s="175">
        <v>2004</v>
      </c>
      <c r="P338" s="176">
        <v>2013</v>
      </c>
    </row>
    <row r="339" spans="1:16">
      <c r="B339" s="177" t="s">
        <v>241</v>
      </c>
      <c r="C339" s="178">
        <v>1</v>
      </c>
      <c r="D339" s="184">
        <f t="shared" ref="D339:D350" si="54">ROUND($F339*1.3717,2)</f>
        <v>162.19999999999999</v>
      </c>
      <c r="E339" s="185">
        <f t="shared" ref="E339:E350" si="55">ROUND($F339*1.1377,2)</f>
        <v>134.53</v>
      </c>
      <c r="F339" s="171">
        <v>118.25</v>
      </c>
      <c r="G339" s="185">
        <f t="shared" ref="G339:G349" si="56">F339*0.828</f>
        <v>97.911000000000001</v>
      </c>
      <c r="J339" s="167"/>
      <c r="K339" s="177" t="s">
        <v>241</v>
      </c>
      <c r="L339" s="178">
        <v>1</v>
      </c>
      <c r="M339" s="184"/>
      <c r="N339" s="185"/>
      <c r="O339" s="171"/>
      <c r="P339" s="185"/>
    </row>
    <row r="340" spans="1:16">
      <c r="C340" s="178">
        <v>2</v>
      </c>
      <c r="D340" s="184">
        <f t="shared" si="54"/>
        <v>163.19</v>
      </c>
      <c r="E340" s="185">
        <f t="shared" si="55"/>
        <v>135.35</v>
      </c>
      <c r="F340" s="171">
        <v>118.97</v>
      </c>
      <c r="G340" s="185">
        <f t="shared" si="56"/>
        <v>98.507159999999999</v>
      </c>
      <c r="J340" s="167"/>
      <c r="L340" s="178">
        <v>2</v>
      </c>
      <c r="M340" s="184"/>
      <c r="N340" s="185"/>
      <c r="O340" s="171"/>
      <c r="P340" s="185"/>
    </row>
    <row r="341" spans="1:16">
      <c r="C341" s="178">
        <v>3</v>
      </c>
      <c r="D341" s="184">
        <f t="shared" si="54"/>
        <v>163.25</v>
      </c>
      <c r="E341" s="185">
        <f t="shared" si="55"/>
        <v>135.4</v>
      </c>
      <c r="F341" s="171">
        <v>119.01</v>
      </c>
      <c r="G341" s="185">
        <f t="shared" si="56"/>
        <v>98.540279999999996</v>
      </c>
      <c r="J341" s="167"/>
      <c r="L341" s="178">
        <v>3</v>
      </c>
      <c r="M341" s="184"/>
      <c r="N341" s="185"/>
      <c r="O341" s="171"/>
      <c r="P341" s="185"/>
    </row>
    <row r="342" spans="1:16">
      <c r="C342" s="178">
        <v>4</v>
      </c>
      <c r="D342" s="184">
        <f t="shared" si="54"/>
        <v>163.22</v>
      </c>
      <c r="E342" s="185">
        <f t="shared" si="55"/>
        <v>135.37</v>
      </c>
      <c r="F342" s="171">
        <v>118.99</v>
      </c>
      <c r="G342" s="185">
        <f t="shared" si="56"/>
        <v>98.523719999999997</v>
      </c>
      <c r="J342" s="167"/>
      <c r="L342" s="178">
        <v>4</v>
      </c>
      <c r="M342" s="184"/>
      <c r="N342" s="185"/>
      <c r="O342" s="171"/>
      <c r="P342" s="185"/>
    </row>
    <row r="343" spans="1:16">
      <c r="C343" s="178">
        <v>5</v>
      </c>
      <c r="D343" s="184">
        <f t="shared" si="54"/>
        <v>163.44</v>
      </c>
      <c r="E343" s="185">
        <f t="shared" si="55"/>
        <v>135.56</v>
      </c>
      <c r="F343" s="171">
        <v>119.15</v>
      </c>
      <c r="G343" s="185">
        <f t="shared" si="56"/>
        <v>98.656199999999998</v>
      </c>
      <c r="J343" s="167"/>
      <c r="L343" s="178">
        <v>5</v>
      </c>
      <c r="M343" s="184">
        <f>ROUND($O343*1.3717,2)</f>
        <v>163.27000000000001</v>
      </c>
      <c r="N343" s="185">
        <f>ROUND($O343*1.1377,2)</f>
        <v>135.41999999999999</v>
      </c>
      <c r="O343" s="221">
        <f>ROUND(AVERAGE(F340:F343),2)</f>
        <v>119.03</v>
      </c>
      <c r="P343" s="185">
        <f t="shared" ref="P343:P349" si="57">O343*0.828</f>
        <v>98.556839999999994</v>
      </c>
    </row>
    <row r="344" spans="1:16">
      <c r="C344" s="178">
        <v>6</v>
      </c>
      <c r="D344" s="184">
        <f t="shared" si="54"/>
        <v>163.22999999999999</v>
      </c>
      <c r="E344" s="185">
        <f t="shared" si="55"/>
        <v>135.38999999999999</v>
      </c>
      <c r="F344" s="171">
        <v>119</v>
      </c>
      <c r="G344" s="185">
        <f t="shared" si="56"/>
        <v>98.531999999999996</v>
      </c>
      <c r="J344" s="167"/>
      <c r="L344" s="178">
        <v>6</v>
      </c>
      <c r="M344" s="184">
        <f t="shared" ref="M344:M350" si="58">ROUND($O344*1.3717,2)</f>
        <v>163.29</v>
      </c>
      <c r="N344" s="185">
        <f t="shared" ref="N344:N350" si="59">ROUND($O344*1.1377,2)</f>
        <v>135.43</v>
      </c>
      <c r="O344" s="221">
        <f t="shared" ref="O344:O350" si="60">ROUND(AVERAGE(F341:F344),2)</f>
        <v>119.04</v>
      </c>
      <c r="P344" s="185">
        <f t="shared" si="57"/>
        <v>98.565119999999993</v>
      </c>
    </row>
    <row r="345" spans="1:16">
      <c r="C345" s="178">
        <v>7</v>
      </c>
      <c r="D345" s="184">
        <f t="shared" si="54"/>
        <v>163.52000000000001</v>
      </c>
      <c r="E345" s="185">
        <f t="shared" si="55"/>
        <v>135.63</v>
      </c>
      <c r="F345" s="171">
        <v>119.21</v>
      </c>
      <c r="G345" s="185">
        <f t="shared" si="56"/>
        <v>98.705879999999993</v>
      </c>
      <c r="J345" s="167"/>
      <c r="L345" s="178">
        <v>7</v>
      </c>
      <c r="M345" s="184">
        <f t="shared" si="58"/>
        <v>163.36000000000001</v>
      </c>
      <c r="N345" s="185">
        <f t="shared" si="59"/>
        <v>135.49</v>
      </c>
      <c r="O345" s="221">
        <f t="shared" si="60"/>
        <v>119.09</v>
      </c>
      <c r="P345" s="185">
        <f t="shared" si="57"/>
        <v>98.606520000000003</v>
      </c>
    </row>
    <row r="346" spans="1:16">
      <c r="C346" s="178">
        <v>8</v>
      </c>
      <c r="D346" s="184">
        <f t="shared" si="54"/>
        <v>163.88</v>
      </c>
      <c r="E346" s="185">
        <f t="shared" si="55"/>
        <v>135.91999999999999</v>
      </c>
      <c r="F346" s="171">
        <v>119.47</v>
      </c>
      <c r="G346" s="185">
        <f t="shared" si="56"/>
        <v>98.92116</v>
      </c>
      <c r="J346" s="167"/>
      <c r="L346" s="178">
        <v>8</v>
      </c>
      <c r="M346" s="184">
        <f t="shared" si="58"/>
        <v>163.52000000000001</v>
      </c>
      <c r="N346" s="185">
        <f t="shared" si="59"/>
        <v>135.63</v>
      </c>
      <c r="O346" s="221">
        <f t="shared" si="60"/>
        <v>119.21</v>
      </c>
      <c r="P346" s="185">
        <f t="shared" si="57"/>
        <v>98.705879999999993</v>
      </c>
    </row>
    <row r="347" spans="1:16">
      <c r="C347" s="178">
        <v>9</v>
      </c>
      <c r="D347" s="184">
        <f t="shared" si="54"/>
        <v>163.95</v>
      </c>
      <c r="E347" s="185">
        <f t="shared" si="55"/>
        <v>135.97999999999999</v>
      </c>
      <c r="F347" s="171">
        <v>119.52</v>
      </c>
      <c r="G347" s="185">
        <f t="shared" si="56"/>
        <v>98.962559999999996</v>
      </c>
      <c r="J347" s="167"/>
      <c r="L347" s="178">
        <v>9</v>
      </c>
      <c r="M347" s="184">
        <f t="shared" si="58"/>
        <v>163.63999999999999</v>
      </c>
      <c r="N347" s="185">
        <f t="shared" si="59"/>
        <v>135.72999999999999</v>
      </c>
      <c r="O347" s="221">
        <f t="shared" si="60"/>
        <v>119.3</v>
      </c>
      <c r="P347" s="185">
        <f t="shared" si="57"/>
        <v>98.780399999999986</v>
      </c>
    </row>
    <row r="348" spans="1:16">
      <c r="C348" s="178">
        <v>10</v>
      </c>
      <c r="D348" s="184">
        <f t="shared" si="54"/>
        <v>164.43</v>
      </c>
      <c r="E348" s="185">
        <f t="shared" si="55"/>
        <v>136.38</v>
      </c>
      <c r="F348" s="171">
        <v>119.87</v>
      </c>
      <c r="G348" s="185">
        <f t="shared" si="56"/>
        <v>99.252359999999996</v>
      </c>
      <c r="J348" s="167"/>
      <c r="L348" s="178">
        <v>10</v>
      </c>
      <c r="M348" s="184">
        <f t="shared" si="58"/>
        <v>163.95</v>
      </c>
      <c r="N348" s="185">
        <f t="shared" si="59"/>
        <v>135.97999999999999</v>
      </c>
      <c r="O348" s="221">
        <f t="shared" si="60"/>
        <v>119.52</v>
      </c>
      <c r="P348" s="185">
        <f t="shared" si="57"/>
        <v>98.962559999999996</v>
      </c>
    </row>
    <row r="349" spans="1:16">
      <c r="C349" s="178">
        <v>11</v>
      </c>
      <c r="D349" s="184">
        <f t="shared" si="54"/>
        <v>164.54</v>
      </c>
      <c r="E349" s="185">
        <f t="shared" si="55"/>
        <v>136.47</v>
      </c>
      <c r="F349" s="171">
        <v>119.95</v>
      </c>
      <c r="G349" s="185">
        <f t="shared" si="56"/>
        <v>99.318600000000004</v>
      </c>
      <c r="J349" s="167"/>
      <c r="L349" s="178">
        <v>11</v>
      </c>
      <c r="M349" s="184">
        <f t="shared" si="58"/>
        <v>164.19</v>
      </c>
      <c r="N349" s="185">
        <f t="shared" si="59"/>
        <v>136.18</v>
      </c>
      <c r="O349" s="221">
        <f t="shared" si="60"/>
        <v>119.7</v>
      </c>
      <c r="P349" s="185">
        <f t="shared" si="57"/>
        <v>99.111599999999996</v>
      </c>
    </row>
    <row r="350" spans="1:16">
      <c r="C350" s="178">
        <v>12</v>
      </c>
      <c r="D350" s="184">
        <f t="shared" si="54"/>
        <v>164.69</v>
      </c>
      <c r="E350" s="185">
        <f t="shared" si="55"/>
        <v>136.59</v>
      </c>
      <c r="F350" s="171">
        <v>120.06</v>
      </c>
      <c r="G350" s="185">
        <f>F350*0.828</f>
        <v>99.409679999999994</v>
      </c>
      <c r="J350" s="167"/>
      <c r="L350" s="178">
        <v>12</v>
      </c>
      <c r="M350" s="184">
        <f t="shared" si="58"/>
        <v>164.4</v>
      </c>
      <c r="N350" s="185">
        <f t="shared" si="59"/>
        <v>136.35</v>
      </c>
      <c r="O350" s="221">
        <f t="shared" si="60"/>
        <v>119.85</v>
      </c>
      <c r="P350" s="185">
        <f>O350*0.828</f>
        <v>99.235799999999983</v>
      </c>
    </row>
    <row r="351" spans="1:16">
      <c r="B351" s="163" t="s">
        <v>242</v>
      </c>
      <c r="D351" s="181">
        <f>AVERAGE(D339:D350)</f>
        <v>163.62833333333333</v>
      </c>
      <c r="E351" s="181">
        <f>AVERAGE(E339:E350)</f>
        <v>135.71416666666667</v>
      </c>
      <c r="F351" s="181">
        <f>AVERAGE(F339:F350)</f>
        <v>119.28750000000001</v>
      </c>
      <c r="G351" s="181">
        <f>AVERAGE(G339:G350)</f>
        <v>98.770050000000012</v>
      </c>
      <c r="J351" s="167"/>
      <c r="K351" s="163" t="s">
        <v>242</v>
      </c>
      <c r="M351" s="181">
        <f>AVERAGE(M339:M350)</f>
        <v>163.70250000000001</v>
      </c>
      <c r="N351" s="181">
        <f>AVERAGE(N339:N350)</f>
        <v>135.77625</v>
      </c>
      <c r="O351" s="181">
        <f>AVERAGE(O339:O350)</f>
        <v>119.3425</v>
      </c>
      <c r="P351" s="181">
        <f>AVERAGE(P339:P350)</f>
        <v>98.815589999999986</v>
      </c>
    </row>
    <row r="355" spans="1:16">
      <c r="A355" s="453">
        <v>2013</v>
      </c>
      <c r="B355" s="453"/>
      <c r="J355" s="453" t="s">
        <v>258</v>
      </c>
      <c r="K355" s="453"/>
      <c r="M355" s="169"/>
    </row>
    <row r="356" spans="1:16">
      <c r="B356" s="172" t="s">
        <v>240</v>
      </c>
      <c r="D356" s="174">
        <v>1988</v>
      </c>
      <c r="E356" s="175">
        <v>1996</v>
      </c>
      <c r="F356" s="175">
        <v>2004</v>
      </c>
      <c r="G356" s="176">
        <v>2013</v>
      </c>
      <c r="J356" s="167"/>
      <c r="K356" s="172" t="s">
        <v>240</v>
      </c>
      <c r="M356" s="174">
        <v>1988</v>
      </c>
      <c r="N356" s="175">
        <v>1996</v>
      </c>
      <c r="O356" s="175">
        <v>2004</v>
      </c>
      <c r="P356" s="176">
        <v>2013</v>
      </c>
    </row>
    <row r="357" spans="1:16">
      <c r="B357" s="177" t="s">
        <v>241</v>
      </c>
      <c r="C357" s="178">
        <v>1</v>
      </c>
      <c r="D357" s="184">
        <f t="shared" ref="D357:D368" si="61">ROUND($F357*1.3717,2)</f>
        <v>164.6</v>
      </c>
      <c r="E357" s="185">
        <f t="shared" ref="E357:E368" si="62">ROUND($F357*1.1377,2)</f>
        <v>136.52000000000001</v>
      </c>
      <c r="F357" s="171">
        <v>120</v>
      </c>
      <c r="G357" s="185">
        <f t="shared" ref="G357:G367" si="63">F357*0.828</f>
        <v>99.36</v>
      </c>
      <c r="J357" s="167"/>
      <c r="K357" s="177" t="s">
        <v>241</v>
      </c>
      <c r="L357" s="178">
        <v>1</v>
      </c>
      <c r="M357" s="184">
        <f>ROUND($O357*1.3717,2)</f>
        <v>164.56</v>
      </c>
      <c r="N357" s="185">
        <f>ROUND($O357*1.1377,2)</f>
        <v>136.49</v>
      </c>
      <c r="O357" s="222">
        <f>ROUND(AVERAGE(F348:F350,F357),2)</f>
        <v>119.97</v>
      </c>
      <c r="P357" s="185">
        <f>O357*0.828</f>
        <v>99.335159999999988</v>
      </c>
    </row>
    <row r="358" spans="1:16">
      <c r="C358" s="178">
        <v>2</v>
      </c>
      <c r="D358" s="184">
        <f t="shared" si="61"/>
        <v>164.97</v>
      </c>
      <c r="E358" s="185">
        <f t="shared" si="62"/>
        <v>136.83000000000001</v>
      </c>
      <c r="F358" s="171">
        <v>120.27</v>
      </c>
      <c r="G358" s="185">
        <f t="shared" si="63"/>
        <v>99.583559999999991</v>
      </c>
      <c r="J358" s="167"/>
      <c r="L358" s="178">
        <v>2</v>
      </c>
      <c r="M358" s="184">
        <f>ROUND($O358*1.3717,2)</f>
        <v>164.7</v>
      </c>
      <c r="N358" s="185">
        <f>ROUND($O358*1.1377,2)</f>
        <v>136.6</v>
      </c>
      <c r="O358" s="222">
        <f>ROUND(AVERAGE(F349:F350,F357:F358),2)</f>
        <v>120.07</v>
      </c>
      <c r="P358" s="185">
        <f>O358*0.828</f>
        <v>99.417959999999994</v>
      </c>
    </row>
    <row r="359" spans="1:16">
      <c r="C359" s="178">
        <v>3</v>
      </c>
      <c r="D359" s="184">
        <f t="shared" si="61"/>
        <v>165.29</v>
      </c>
      <c r="E359" s="185">
        <f t="shared" si="62"/>
        <v>137.09</v>
      </c>
      <c r="F359" s="171">
        <v>120.5</v>
      </c>
      <c r="G359" s="185">
        <f t="shared" si="63"/>
        <v>99.774000000000001</v>
      </c>
      <c r="J359" s="167"/>
      <c r="L359" s="178">
        <v>3</v>
      </c>
      <c r="M359" s="184">
        <f t="shared" ref="M359:M368" si="64">ROUND($O359*1.3717,2)</f>
        <v>164.89</v>
      </c>
      <c r="N359" s="185">
        <f t="shared" ref="N359:N368" si="65">ROUND($O359*1.1377,2)</f>
        <v>136.76</v>
      </c>
      <c r="O359" s="222">
        <f>ROUND(AVERAGE(F350,F357:F359),2)</f>
        <v>120.21</v>
      </c>
      <c r="P359" s="185">
        <f t="shared" ref="P359:P368" si="66">O359*0.828</f>
        <v>99.533879999999996</v>
      </c>
    </row>
    <row r="360" spans="1:16">
      <c r="C360" s="178">
        <v>4</v>
      </c>
      <c r="D360" s="184">
        <f t="shared" si="61"/>
        <v>165.28</v>
      </c>
      <c r="E360" s="185">
        <f t="shared" si="62"/>
        <v>137.08000000000001</v>
      </c>
      <c r="F360" s="171">
        <v>120.49</v>
      </c>
      <c r="G360" s="185">
        <f t="shared" si="63"/>
        <v>99.765719999999988</v>
      </c>
      <c r="J360" s="167"/>
      <c r="L360" s="178">
        <v>4</v>
      </c>
      <c r="M360" s="184">
        <f t="shared" si="64"/>
        <v>165.04</v>
      </c>
      <c r="N360" s="185">
        <f t="shared" si="65"/>
        <v>136.88999999999999</v>
      </c>
      <c r="O360" s="221">
        <f>ROUND(AVERAGE(F357:F360),2)</f>
        <v>120.32</v>
      </c>
      <c r="P360" s="185">
        <f t="shared" si="66"/>
        <v>99.624959999999987</v>
      </c>
    </row>
    <row r="361" spans="1:16">
      <c r="C361" s="178">
        <v>5</v>
      </c>
      <c r="D361" s="184">
        <f t="shared" si="61"/>
        <v>165.72</v>
      </c>
      <c r="E361" s="185">
        <f t="shared" si="62"/>
        <v>137.44999999999999</v>
      </c>
      <c r="F361" s="171">
        <v>120.81</v>
      </c>
      <c r="G361" s="185">
        <f t="shared" si="63"/>
        <v>100.03068</v>
      </c>
      <c r="J361" s="167"/>
      <c r="L361" s="178">
        <v>5</v>
      </c>
      <c r="M361" s="184">
        <f t="shared" si="64"/>
        <v>165.32</v>
      </c>
      <c r="N361" s="185">
        <f t="shared" si="65"/>
        <v>137.12</v>
      </c>
      <c r="O361" s="221">
        <f t="shared" ref="O361:O368" si="67">ROUND(AVERAGE(F358:F361),2)</f>
        <v>120.52</v>
      </c>
      <c r="P361" s="185">
        <f t="shared" si="66"/>
        <v>99.790559999999985</v>
      </c>
    </row>
    <row r="362" spans="1:16">
      <c r="C362" s="178">
        <v>6</v>
      </c>
      <c r="D362" s="184">
        <f t="shared" si="61"/>
        <v>165.99</v>
      </c>
      <c r="E362" s="185">
        <f t="shared" si="62"/>
        <v>137.66999999999999</v>
      </c>
      <c r="F362" s="171">
        <v>121.01</v>
      </c>
      <c r="G362" s="185">
        <f t="shared" si="63"/>
        <v>100.19628</v>
      </c>
      <c r="J362" s="167"/>
      <c r="L362" s="178">
        <v>6</v>
      </c>
      <c r="M362" s="184">
        <f t="shared" si="64"/>
        <v>165.56</v>
      </c>
      <c r="N362" s="185">
        <f t="shared" si="65"/>
        <v>137.32</v>
      </c>
      <c r="O362" s="221">
        <f t="shared" si="67"/>
        <v>120.7</v>
      </c>
      <c r="P362" s="185">
        <f t="shared" si="66"/>
        <v>99.939599999999999</v>
      </c>
    </row>
    <row r="363" spans="1:16">
      <c r="C363" s="178">
        <v>7</v>
      </c>
      <c r="D363" s="184">
        <f t="shared" si="61"/>
        <v>166.06</v>
      </c>
      <c r="E363" s="185">
        <f t="shared" si="62"/>
        <v>137.72999999999999</v>
      </c>
      <c r="F363" s="171">
        <v>121.06</v>
      </c>
      <c r="G363" s="185">
        <f t="shared" si="63"/>
        <v>100.23768</v>
      </c>
      <c r="J363" s="167"/>
      <c r="L363" s="178">
        <v>7</v>
      </c>
      <c r="M363" s="184">
        <f t="shared" si="64"/>
        <v>165.76</v>
      </c>
      <c r="N363" s="185">
        <f t="shared" si="65"/>
        <v>137.47999999999999</v>
      </c>
      <c r="O363" s="221">
        <f t="shared" si="67"/>
        <v>120.84</v>
      </c>
      <c r="P363" s="185">
        <f t="shared" si="66"/>
        <v>100.05552</v>
      </c>
    </row>
    <row r="364" spans="1:16">
      <c r="C364" s="178">
        <v>8</v>
      </c>
      <c r="D364" s="184">
        <f t="shared" si="61"/>
        <v>165.82</v>
      </c>
      <c r="E364" s="185">
        <f t="shared" si="62"/>
        <v>137.54</v>
      </c>
      <c r="F364" s="171">
        <v>120.89</v>
      </c>
      <c r="G364" s="185">
        <f t="shared" si="63"/>
        <v>100.09692</v>
      </c>
      <c r="J364" s="167"/>
      <c r="L364" s="178">
        <v>8</v>
      </c>
      <c r="M364" s="184">
        <f t="shared" si="64"/>
        <v>165.89</v>
      </c>
      <c r="N364" s="185">
        <f t="shared" si="65"/>
        <v>137.59</v>
      </c>
      <c r="O364" s="221">
        <f t="shared" si="67"/>
        <v>120.94</v>
      </c>
      <c r="P364" s="185">
        <f t="shared" si="66"/>
        <v>100.13831999999999</v>
      </c>
    </row>
    <row r="365" spans="1:16">
      <c r="C365" s="178">
        <v>9</v>
      </c>
      <c r="D365" s="184">
        <f t="shared" si="61"/>
        <v>165.72</v>
      </c>
      <c r="E365" s="185">
        <f t="shared" si="62"/>
        <v>137.44999999999999</v>
      </c>
      <c r="F365" s="171">
        <v>120.81</v>
      </c>
      <c r="G365" s="185">
        <f t="shared" si="63"/>
        <v>100.03068</v>
      </c>
      <c r="J365" s="167"/>
      <c r="L365" s="178">
        <v>9</v>
      </c>
      <c r="M365" s="184">
        <f t="shared" si="64"/>
        <v>165.89</v>
      </c>
      <c r="N365" s="185">
        <f t="shared" si="65"/>
        <v>137.59</v>
      </c>
      <c r="O365" s="221">
        <f t="shared" si="67"/>
        <v>120.94</v>
      </c>
      <c r="P365" s="185">
        <f t="shared" si="66"/>
        <v>100.13831999999999</v>
      </c>
    </row>
    <row r="366" spans="1:16">
      <c r="C366" s="178">
        <v>10</v>
      </c>
      <c r="D366" s="184">
        <f t="shared" si="61"/>
        <v>165.96</v>
      </c>
      <c r="E366" s="185">
        <f t="shared" si="62"/>
        <v>137.65</v>
      </c>
      <c r="F366" s="171">
        <v>120.99</v>
      </c>
      <c r="G366" s="185">
        <f t="shared" si="63"/>
        <v>100.17971999999999</v>
      </c>
      <c r="J366" s="167"/>
      <c r="L366" s="178">
        <v>10</v>
      </c>
      <c r="M366" s="184">
        <f t="shared" si="64"/>
        <v>165.89</v>
      </c>
      <c r="N366" s="185">
        <f t="shared" si="65"/>
        <v>137.59</v>
      </c>
      <c r="O366" s="221">
        <f t="shared" si="67"/>
        <v>120.94</v>
      </c>
      <c r="P366" s="185">
        <f t="shared" si="66"/>
        <v>100.13831999999999</v>
      </c>
    </row>
    <row r="367" spans="1:16">
      <c r="C367" s="178">
        <v>11</v>
      </c>
      <c r="D367" s="184">
        <f t="shared" si="61"/>
        <v>166.14</v>
      </c>
      <c r="E367" s="185">
        <f t="shared" si="62"/>
        <v>137.80000000000001</v>
      </c>
      <c r="F367" s="171">
        <v>121.12</v>
      </c>
      <c r="G367" s="185">
        <f t="shared" si="63"/>
        <v>100.28735999999999</v>
      </c>
      <c r="J367" s="167"/>
      <c r="L367" s="178">
        <v>11</v>
      </c>
      <c r="M367" s="184">
        <f t="shared" si="64"/>
        <v>165.91</v>
      </c>
      <c r="N367" s="185">
        <f t="shared" si="65"/>
        <v>137.6</v>
      </c>
      <c r="O367" s="221">
        <f t="shared" si="67"/>
        <v>120.95</v>
      </c>
      <c r="P367" s="185">
        <f t="shared" si="66"/>
        <v>100.14659999999999</v>
      </c>
    </row>
    <row r="368" spans="1:16">
      <c r="C368" s="178">
        <v>12</v>
      </c>
      <c r="D368" s="184">
        <f t="shared" si="61"/>
        <v>166.35</v>
      </c>
      <c r="E368" s="185">
        <f t="shared" si="62"/>
        <v>137.97</v>
      </c>
      <c r="F368" s="171">
        <v>121.27</v>
      </c>
      <c r="G368" s="185">
        <f>F368*0.828</f>
        <v>100.41155999999999</v>
      </c>
      <c r="H368" s="170"/>
      <c r="J368" s="167"/>
      <c r="L368" s="178">
        <v>12</v>
      </c>
      <c r="M368" s="184">
        <f t="shared" si="64"/>
        <v>166.04</v>
      </c>
      <c r="N368" s="185">
        <f t="shared" si="65"/>
        <v>137.72</v>
      </c>
      <c r="O368" s="221">
        <f t="shared" si="67"/>
        <v>121.05</v>
      </c>
      <c r="P368" s="185">
        <f t="shared" si="66"/>
        <v>100.2294</v>
      </c>
    </row>
    <row r="369" spans="1:16">
      <c r="B369" s="163" t="s">
        <v>242</v>
      </c>
      <c r="D369" s="181">
        <f>AVERAGE(D357:D368)</f>
        <v>165.65833333333333</v>
      </c>
      <c r="E369" s="181">
        <f>AVERAGE(E357:E368)</f>
        <v>137.39833333333334</v>
      </c>
      <c r="F369" s="181">
        <f>AVERAGE(F357:F368)</f>
        <v>120.76833333333332</v>
      </c>
      <c r="G369" s="187">
        <f>AVERAGE(G357:G368)</f>
        <v>99.996179999999981</v>
      </c>
      <c r="J369" s="167"/>
      <c r="K369" s="163" t="s">
        <v>242</v>
      </c>
      <c r="M369" s="181">
        <f>AVERAGE(M357:M368)</f>
        <v>165.45416666666662</v>
      </c>
      <c r="N369" s="181">
        <f>AVERAGE(N357:N368)</f>
        <v>137.22916666666666</v>
      </c>
      <c r="O369" s="181">
        <f>AVERAGE(O357:O368)</f>
        <v>120.62083333333335</v>
      </c>
      <c r="P369" s="181">
        <f>AVERAGE(P357:P368)</f>
        <v>99.874049999999997</v>
      </c>
    </row>
    <row r="373" spans="1:16">
      <c r="A373" s="453">
        <v>2014</v>
      </c>
      <c r="B373" s="453"/>
      <c r="J373" s="453" t="s">
        <v>259</v>
      </c>
      <c r="K373" s="453"/>
      <c r="M373" s="169"/>
    </row>
    <row r="374" spans="1:16">
      <c r="B374" s="172" t="s">
        <v>240</v>
      </c>
      <c r="D374" s="174">
        <v>1988</v>
      </c>
      <c r="E374" s="175">
        <v>1996</v>
      </c>
      <c r="F374" s="175">
        <v>2004</v>
      </c>
      <c r="G374" s="176">
        <v>2013</v>
      </c>
      <c r="J374" s="167"/>
      <c r="K374" s="172" t="s">
        <v>240</v>
      </c>
      <c r="M374" s="174">
        <v>1988</v>
      </c>
      <c r="N374" s="175">
        <v>1996</v>
      </c>
      <c r="O374" s="175">
        <v>2004</v>
      </c>
      <c r="P374" s="176">
        <v>2013</v>
      </c>
    </row>
    <row r="375" spans="1:16">
      <c r="B375" s="177" t="s">
        <v>241</v>
      </c>
      <c r="C375" s="178">
        <v>1</v>
      </c>
      <c r="D375" s="184">
        <f>ROUND(G375*1.6566,2)</f>
        <v>166.65</v>
      </c>
      <c r="E375" s="185">
        <f>ROUND(G375*1.374,2)</f>
        <v>138.22</v>
      </c>
      <c r="F375" s="185">
        <f>ROUND(G375*1.2077,2)</f>
        <v>121.49</v>
      </c>
      <c r="G375" s="171">
        <v>100.6</v>
      </c>
      <c r="J375" s="167"/>
      <c r="K375" s="177" t="s">
        <v>241</v>
      </c>
      <c r="L375" s="178">
        <v>1</v>
      </c>
      <c r="M375" s="184">
        <f>ROUND($O375*1.3717,2)</f>
        <v>166.28</v>
      </c>
      <c r="N375" s="185">
        <f>ROUND($O375*1.1377,2)</f>
        <v>137.91</v>
      </c>
      <c r="O375" s="185">
        <f>ROUND(P375*1.2077,2)</f>
        <v>121.22</v>
      </c>
      <c r="P375" s="222">
        <f>ROUND(AVERAGE(G366:G368,G375),2)</f>
        <v>100.37</v>
      </c>
    </row>
    <row r="376" spans="1:16">
      <c r="C376" s="178">
        <v>2</v>
      </c>
      <c r="D376" s="184">
        <f t="shared" ref="D376:D386" si="68">ROUND(G376*1.6566,2)</f>
        <v>166.9</v>
      </c>
      <c r="E376" s="185">
        <f t="shared" ref="E376:E386" si="69">ROUND(G376*1.374,2)</f>
        <v>138.43</v>
      </c>
      <c r="F376" s="185">
        <f t="shared" ref="F376:F386" si="70">ROUND(G376*1.2077,2)</f>
        <v>121.68</v>
      </c>
      <c r="G376" s="171">
        <v>100.75</v>
      </c>
      <c r="J376" s="167"/>
      <c r="L376" s="178">
        <v>2</v>
      </c>
      <c r="M376" s="184">
        <f>ROUND($O376*1.3717,2)</f>
        <v>166.51</v>
      </c>
      <c r="N376" s="185">
        <f>ROUND($O376*1.1377,2)</f>
        <v>138.11000000000001</v>
      </c>
      <c r="O376" s="185">
        <f>ROUND(P376*1.2077,2)</f>
        <v>121.39</v>
      </c>
      <c r="P376" s="222">
        <f>ROUND(AVERAGE(G367:G368,G375:G376),2)</f>
        <v>100.51</v>
      </c>
    </row>
    <row r="377" spans="1:16">
      <c r="C377" s="178">
        <v>3</v>
      </c>
      <c r="D377" s="184">
        <f t="shared" si="68"/>
        <v>166.97</v>
      </c>
      <c r="E377" s="185">
        <f t="shared" si="69"/>
        <v>138.49</v>
      </c>
      <c r="F377" s="185">
        <f t="shared" si="70"/>
        <v>121.72</v>
      </c>
      <c r="G377" s="171">
        <v>100.79</v>
      </c>
      <c r="J377" s="167"/>
      <c r="L377" s="178">
        <v>3</v>
      </c>
      <c r="M377" s="184">
        <f>ROUND($O377*1.3717,2)</f>
        <v>166.72</v>
      </c>
      <c r="N377" s="185">
        <f>ROUND($O377*1.1377,2)</f>
        <v>138.28</v>
      </c>
      <c r="O377" s="185">
        <f t="shared" ref="O377:O386" si="71">ROUND(P377*1.2077,2)</f>
        <v>121.54</v>
      </c>
      <c r="P377" s="222">
        <f>ROUND(AVERAGE(G368,G375:G377),2)</f>
        <v>100.64</v>
      </c>
    </row>
    <row r="378" spans="1:16">
      <c r="C378" s="178">
        <v>4</v>
      </c>
      <c r="D378" s="184">
        <f t="shared" si="68"/>
        <v>166.39</v>
      </c>
      <c r="E378" s="185">
        <f t="shared" si="69"/>
        <v>138</v>
      </c>
      <c r="F378" s="185">
        <f t="shared" si="70"/>
        <v>121.3</v>
      </c>
      <c r="G378" s="171">
        <v>100.44</v>
      </c>
      <c r="J378" s="167"/>
      <c r="L378" s="178">
        <v>4</v>
      </c>
      <c r="M378" s="184">
        <f>ROUND($O378*1.3717,2)</f>
        <v>166.74</v>
      </c>
      <c r="N378" s="185">
        <f>ROUND($O378*1.1377,2)</f>
        <v>138.30000000000001</v>
      </c>
      <c r="O378" s="185">
        <f t="shared" si="71"/>
        <v>121.56</v>
      </c>
      <c r="P378" s="221">
        <f>ROUND(AVERAGE(G375:G378),2)</f>
        <v>100.65</v>
      </c>
    </row>
    <row r="379" spans="1:16">
      <c r="C379" s="178">
        <v>5</v>
      </c>
      <c r="D379" s="184">
        <f t="shared" si="68"/>
        <v>166.14</v>
      </c>
      <c r="E379" s="185">
        <f t="shared" si="69"/>
        <v>137.80000000000001</v>
      </c>
      <c r="F379" s="185">
        <f t="shared" si="70"/>
        <v>121.12</v>
      </c>
      <c r="G379" s="171">
        <v>100.29</v>
      </c>
      <c r="J379" s="167"/>
      <c r="L379" s="178">
        <v>5</v>
      </c>
      <c r="M379" s="184">
        <f>ROUND($O379*1.3717,2)</f>
        <v>166.61</v>
      </c>
      <c r="N379" s="185">
        <f>ROUND($O379*1.1377,2)</f>
        <v>138.19</v>
      </c>
      <c r="O379" s="185">
        <f t="shared" si="71"/>
        <v>121.46</v>
      </c>
      <c r="P379" s="221">
        <f t="shared" ref="P379:P386" si="72">ROUND(AVERAGE(G376:G379),2)</f>
        <v>100.57</v>
      </c>
    </row>
    <row r="380" spans="1:16">
      <c r="C380" s="178">
        <v>6</v>
      </c>
      <c r="D380" s="184">
        <f t="shared" si="68"/>
        <v>166.22</v>
      </c>
      <c r="E380" s="185">
        <f t="shared" si="69"/>
        <v>137.87</v>
      </c>
      <c r="F380" s="185">
        <f t="shared" si="70"/>
        <v>121.18</v>
      </c>
      <c r="G380" s="171">
        <v>100.34</v>
      </c>
      <c r="J380" s="167"/>
      <c r="L380" s="178">
        <v>6</v>
      </c>
      <c r="M380" s="184">
        <f t="shared" ref="M380:M386" si="73">ROUND($O380*1.3717,2)</f>
        <v>166.44</v>
      </c>
      <c r="N380" s="185">
        <f t="shared" ref="N380:N386" si="74">ROUND($O380*1.1377,2)</f>
        <v>138.05000000000001</v>
      </c>
      <c r="O380" s="185">
        <f t="shared" si="71"/>
        <v>121.34</v>
      </c>
      <c r="P380" s="221">
        <f t="shared" si="72"/>
        <v>100.47</v>
      </c>
    </row>
    <row r="381" spans="1:16">
      <c r="C381" s="178">
        <v>7</v>
      </c>
      <c r="D381" s="184">
        <f t="shared" si="68"/>
        <v>166.42</v>
      </c>
      <c r="E381" s="185">
        <f t="shared" si="69"/>
        <v>138.03</v>
      </c>
      <c r="F381" s="185">
        <f t="shared" si="70"/>
        <v>121.33</v>
      </c>
      <c r="G381" s="171">
        <v>100.46</v>
      </c>
      <c r="J381" s="167"/>
      <c r="L381" s="178">
        <v>7</v>
      </c>
      <c r="M381" s="184">
        <f t="shared" si="73"/>
        <v>166.29</v>
      </c>
      <c r="N381" s="185">
        <f t="shared" si="74"/>
        <v>137.91999999999999</v>
      </c>
      <c r="O381" s="185">
        <f t="shared" si="71"/>
        <v>121.23</v>
      </c>
      <c r="P381" s="221">
        <f t="shared" si="72"/>
        <v>100.38</v>
      </c>
    </row>
    <row r="382" spans="1:16">
      <c r="C382" s="178">
        <v>8</v>
      </c>
      <c r="D382" s="184">
        <f t="shared" si="68"/>
        <v>165.86</v>
      </c>
      <c r="E382" s="185">
        <f t="shared" si="69"/>
        <v>137.56</v>
      </c>
      <c r="F382" s="185">
        <f t="shared" si="70"/>
        <v>120.91</v>
      </c>
      <c r="G382" s="171">
        <v>100.12</v>
      </c>
      <c r="J382" s="167"/>
      <c r="L382" s="178">
        <v>8</v>
      </c>
      <c r="M382" s="184">
        <f t="shared" si="73"/>
        <v>166.15</v>
      </c>
      <c r="N382" s="185">
        <f t="shared" si="74"/>
        <v>137.81</v>
      </c>
      <c r="O382" s="185">
        <f t="shared" si="71"/>
        <v>121.13</v>
      </c>
      <c r="P382" s="221">
        <f t="shared" si="72"/>
        <v>100.3</v>
      </c>
    </row>
    <row r="383" spans="1:16">
      <c r="C383" s="178">
        <v>9</v>
      </c>
      <c r="D383" s="184">
        <f t="shared" si="68"/>
        <v>165.76</v>
      </c>
      <c r="E383" s="185">
        <f t="shared" si="69"/>
        <v>137.47999999999999</v>
      </c>
      <c r="F383" s="185">
        <f t="shared" si="70"/>
        <v>120.84</v>
      </c>
      <c r="G383" s="171">
        <v>100.06</v>
      </c>
      <c r="J383" s="167"/>
      <c r="L383" s="178">
        <v>9</v>
      </c>
      <c r="M383" s="184">
        <f t="shared" si="73"/>
        <v>166.07</v>
      </c>
      <c r="N383" s="185">
        <f t="shared" si="74"/>
        <v>137.74</v>
      </c>
      <c r="O383" s="185">
        <f t="shared" si="71"/>
        <v>121.07</v>
      </c>
      <c r="P383" s="221">
        <f t="shared" si="72"/>
        <v>100.25</v>
      </c>
    </row>
    <row r="384" spans="1:16">
      <c r="C384" s="178">
        <v>10</v>
      </c>
      <c r="D384" s="184">
        <f t="shared" si="68"/>
        <v>166.12</v>
      </c>
      <c r="E384" s="185">
        <f t="shared" si="69"/>
        <v>137.78</v>
      </c>
      <c r="F384" s="185">
        <f t="shared" si="70"/>
        <v>121.11</v>
      </c>
      <c r="G384" s="171">
        <v>100.28</v>
      </c>
      <c r="J384" s="167"/>
      <c r="L384" s="178">
        <v>10</v>
      </c>
      <c r="M384" s="184">
        <f t="shared" si="73"/>
        <v>166.04</v>
      </c>
      <c r="N384" s="185">
        <f t="shared" si="74"/>
        <v>137.72</v>
      </c>
      <c r="O384" s="185">
        <f t="shared" si="71"/>
        <v>121.05</v>
      </c>
      <c r="P384" s="221">
        <f t="shared" si="72"/>
        <v>100.23</v>
      </c>
    </row>
    <row r="385" spans="1:17">
      <c r="C385" s="178">
        <v>11</v>
      </c>
      <c r="D385" s="184">
        <f t="shared" si="68"/>
        <v>166.12</v>
      </c>
      <c r="E385" s="185">
        <f t="shared" si="69"/>
        <v>137.78</v>
      </c>
      <c r="F385" s="185">
        <f t="shared" si="70"/>
        <v>121.11</v>
      </c>
      <c r="G385" s="171">
        <v>100.28</v>
      </c>
      <c r="J385" s="167"/>
      <c r="L385" s="178">
        <v>11</v>
      </c>
      <c r="M385" s="184">
        <f t="shared" si="73"/>
        <v>165.98</v>
      </c>
      <c r="N385" s="185">
        <f t="shared" si="74"/>
        <v>137.66</v>
      </c>
      <c r="O385" s="185">
        <f t="shared" si="71"/>
        <v>121</v>
      </c>
      <c r="P385" s="221">
        <f t="shared" si="72"/>
        <v>100.19</v>
      </c>
    </row>
    <row r="386" spans="1:17">
      <c r="C386" s="178">
        <v>12</v>
      </c>
      <c r="D386" s="184">
        <f t="shared" si="68"/>
        <v>166.32</v>
      </c>
      <c r="E386" s="185">
        <f t="shared" si="69"/>
        <v>137.94999999999999</v>
      </c>
      <c r="F386" s="185">
        <f t="shared" si="70"/>
        <v>121.25</v>
      </c>
      <c r="G386" s="171">
        <v>100.4</v>
      </c>
      <c r="J386" s="167"/>
      <c r="L386" s="178">
        <v>12</v>
      </c>
      <c r="M386" s="184">
        <f t="shared" si="73"/>
        <v>166.09</v>
      </c>
      <c r="N386" s="185">
        <f t="shared" si="74"/>
        <v>137.75</v>
      </c>
      <c r="O386" s="185">
        <f t="shared" si="71"/>
        <v>121.08</v>
      </c>
      <c r="P386" s="221">
        <f t="shared" si="72"/>
        <v>100.26</v>
      </c>
    </row>
    <row r="387" spans="1:17">
      <c r="B387" s="163" t="s">
        <v>242</v>
      </c>
      <c r="D387" s="181">
        <f>AVERAGE(D375:D386)</f>
        <v>166.32250000000002</v>
      </c>
      <c r="E387" s="181">
        <f>AVERAGE(E375:E386)</f>
        <v>137.94916666666668</v>
      </c>
      <c r="F387" s="181">
        <f>AVERAGE(F375:F386)</f>
        <v>121.25333333333332</v>
      </c>
      <c r="G387" s="187">
        <f>AVERAGE(G375:G386)</f>
        <v>100.40083333333335</v>
      </c>
      <c r="J387" s="167"/>
      <c r="K387" s="163" t="s">
        <v>242</v>
      </c>
      <c r="M387" s="181">
        <f>AVERAGE(M375:M386)</f>
        <v>166.32666666666665</v>
      </c>
      <c r="N387" s="181">
        <f>AVERAGE(N375:N386)</f>
        <v>137.95333333333335</v>
      </c>
      <c r="O387" s="181">
        <f>AVERAGE(O375:O386)</f>
        <v>121.25583333333333</v>
      </c>
      <c r="P387" s="181">
        <f>AVERAGE(P375:P386)</f>
        <v>100.40166666666666</v>
      </c>
    </row>
    <row r="391" spans="1:17">
      <c r="A391" s="453">
        <v>2015</v>
      </c>
      <c r="B391" s="453"/>
      <c r="J391" s="453" t="s">
        <v>260</v>
      </c>
      <c r="K391" s="453"/>
      <c r="M391" s="169"/>
    </row>
    <row r="392" spans="1:17">
      <c r="B392" s="172" t="s">
        <v>240</v>
      </c>
      <c r="D392" s="174">
        <v>1988</v>
      </c>
      <c r="E392" s="175">
        <v>1996</v>
      </c>
      <c r="F392" s="175">
        <v>2004</v>
      </c>
      <c r="G392" s="176">
        <v>2013</v>
      </c>
      <c r="J392" s="167"/>
      <c r="K392" s="172" t="s">
        <v>240</v>
      </c>
      <c r="M392" s="174">
        <v>1988</v>
      </c>
      <c r="N392" s="175">
        <v>1996</v>
      </c>
      <c r="O392" s="175">
        <v>2004</v>
      </c>
      <c r="P392" s="176">
        <v>2013</v>
      </c>
    </row>
    <row r="393" spans="1:17">
      <c r="B393" s="177" t="s">
        <v>241</v>
      </c>
      <c r="C393" s="178">
        <v>1</v>
      </c>
      <c r="D393" s="184">
        <f t="shared" ref="D393:D399" si="75">ROUND(G393*1.6566,2)</f>
        <v>166.67</v>
      </c>
      <c r="E393" s="185">
        <f t="shared" ref="E393:E399" si="76">ROUND(G393*1.374,2)</f>
        <v>138.24</v>
      </c>
      <c r="F393" s="185">
        <f t="shared" ref="F393:F399" si="77">ROUND(G393*1.2077,2)</f>
        <v>121.51</v>
      </c>
      <c r="G393" s="171">
        <v>100.61</v>
      </c>
      <c r="J393" s="167"/>
      <c r="K393" s="177" t="s">
        <v>241</v>
      </c>
      <c r="L393" s="178">
        <v>1</v>
      </c>
      <c r="M393" s="184">
        <f>ROUND($O393*1.3717,2)</f>
        <v>166.3</v>
      </c>
      <c r="N393" s="185">
        <f>ROUND($O393*1.1377,2)</f>
        <v>137.93</v>
      </c>
      <c r="O393" s="185">
        <f>ROUND(P393*1.2077,2)</f>
        <v>121.24</v>
      </c>
      <c r="P393" s="222">
        <f>ROUND(AVERAGE(G384:G386,G393),2)</f>
        <v>100.39</v>
      </c>
    </row>
    <row r="394" spans="1:17">
      <c r="C394" s="178">
        <v>2</v>
      </c>
      <c r="D394" s="184">
        <f t="shared" si="75"/>
        <v>167.13</v>
      </c>
      <c r="E394" s="185">
        <f t="shared" si="76"/>
        <v>138.62</v>
      </c>
      <c r="F394" s="185">
        <f t="shared" si="77"/>
        <v>121.84</v>
      </c>
      <c r="G394" s="171">
        <v>100.89</v>
      </c>
      <c r="J394" s="167"/>
      <c r="L394" s="178">
        <v>2</v>
      </c>
      <c r="M394" s="184">
        <f>ROUND($O394*1.3717,2)</f>
        <v>166.57</v>
      </c>
      <c r="N394" s="185">
        <f>ROUND($O394*1.1377,2)</f>
        <v>138.15</v>
      </c>
      <c r="O394" s="185">
        <f>ROUND(P394*1.2077,2)</f>
        <v>121.43</v>
      </c>
      <c r="P394" s="222">
        <f>ROUND(AVERAGE(G385:G386,G393:G394),2)</f>
        <v>100.55</v>
      </c>
    </row>
    <row r="395" spans="1:17">
      <c r="C395" s="178">
        <v>3</v>
      </c>
      <c r="D395" s="184">
        <f t="shared" si="75"/>
        <v>166.87</v>
      </c>
      <c r="E395" s="185">
        <f t="shared" si="76"/>
        <v>138.4</v>
      </c>
      <c r="F395" s="185">
        <f t="shared" si="77"/>
        <v>121.65</v>
      </c>
      <c r="G395" s="171">
        <v>100.73</v>
      </c>
      <c r="J395" s="167"/>
      <c r="L395" s="178">
        <v>3</v>
      </c>
      <c r="M395" s="184">
        <f>ROUND($O395*1.3717,2)</f>
        <v>166.76</v>
      </c>
      <c r="N395" s="185">
        <f>ROUND($O395*1.1377,2)</f>
        <v>138.31</v>
      </c>
      <c r="O395" s="185">
        <f t="shared" ref="O395:O404" si="78">ROUND(P395*1.2077,2)</f>
        <v>121.57</v>
      </c>
      <c r="P395" s="223">
        <f>ROUND(AVERAGE(G386,G393:G395),2)</f>
        <v>100.66</v>
      </c>
      <c r="Q395" s="457" t="s">
        <v>263</v>
      </c>
    </row>
    <row r="396" spans="1:17">
      <c r="C396" s="178">
        <v>4</v>
      </c>
      <c r="D396" s="184">
        <f t="shared" si="75"/>
        <v>167.52</v>
      </c>
      <c r="E396" s="185">
        <f t="shared" si="76"/>
        <v>138.94</v>
      </c>
      <c r="F396" s="185">
        <f t="shared" si="77"/>
        <v>122.12</v>
      </c>
      <c r="G396" s="171">
        <v>101.12</v>
      </c>
      <c r="J396" s="167"/>
      <c r="L396" s="178">
        <v>4</v>
      </c>
      <c r="M396" s="184">
        <f>ROUND($O396*1.3717,2)</f>
        <v>166.76</v>
      </c>
      <c r="N396" s="185">
        <f>ROUND($O396*1.1377,2)</f>
        <v>138.31</v>
      </c>
      <c r="O396" s="185">
        <f t="shared" si="78"/>
        <v>121.57</v>
      </c>
      <c r="P396" s="224">
        <v>100.66</v>
      </c>
      <c r="Q396" s="457"/>
    </row>
    <row r="397" spans="1:17">
      <c r="C397" s="178">
        <v>5</v>
      </c>
      <c r="D397" s="184">
        <f t="shared" si="75"/>
        <v>167.58</v>
      </c>
      <c r="E397" s="185">
        <f t="shared" si="76"/>
        <v>138.99</v>
      </c>
      <c r="F397" s="185">
        <f t="shared" si="77"/>
        <v>122.17</v>
      </c>
      <c r="G397" s="171">
        <v>101.16</v>
      </c>
      <c r="J397" s="167"/>
      <c r="L397" s="178">
        <v>5</v>
      </c>
      <c r="M397" s="184">
        <f>ROUND($O397*1.3717,2)</f>
        <v>166.76</v>
      </c>
      <c r="N397" s="185">
        <f>ROUND($O397*1.1377,2)</f>
        <v>138.31</v>
      </c>
      <c r="O397" s="185">
        <f t="shared" si="78"/>
        <v>121.57</v>
      </c>
      <c r="P397" s="224">
        <v>100.66</v>
      </c>
      <c r="Q397" s="457"/>
    </row>
    <row r="398" spans="1:17">
      <c r="C398" s="178">
        <v>6</v>
      </c>
      <c r="D398" s="184">
        <f t="shared" si="75"/>
        <v>167.86</v>
      </c>
      <c r="E398" s="185">
        <f t="shared" si="76"/>
        <v>139.22999999999999</v>
      </c>
      <c r="F398" s="185">
        <f t="shared" si="77"/>
        <v>122.38</v>
      </c>
      <c r="G398" s="171">
        <v>101.33</v>
      </c>
      <c r="J398" s="167"/>
      <c r="L398" s="178">
        <v>6</v>
      </c>
      <c r="M398" s="184">
        <f t="shared" ref="M398:M404" si="79">ROUND($O398*1.3717,2)</f>
        <v>166.76</v>
      </c>
      <c r="N398" s="185">
        <f t="shared" ref="N398:N404" si="80">ROUND($O398*1.1377,2)</f>
        <v>138.31</v>
      </c>
      <c r="O398" s="185">
        <f t="shared" si="78"/>
        <v>121.57</v>
      </c>
      <c r="P398" s="224">
        <v>100.66</v>
      </c>
      <c r="Q398" s="457"/>
    </row>
    <row r="399" spans="1:17">
      <c r="C399" s="178">
        <v>7</v>
      </c>
      <c r="D399" s="184">
        <f t="shared" si="75"/>
        <v>167.93</v>
      </c>
      <c r="E399" s="185">
        <f t="shared" si="76"/>
        <v>139.28</v>
      </c>
      <c r="F399" s="185">
        <f t="shared" si="77"/>
        <v>122.42</v>
      </c>
      <c r="G399" s="171">
        <v>101.37</v>
      </c>
      <c r="J399" s="167"/>
      <c r="L399" s="178">
        <v>7</v>
      </c>
      <c r="M399" s="184">
        <f t="shared" si="79"/>
        <v>166.76</v>
      </c>
      <c r="N399" s="185">
        <f t="shared" si="80"/>
        <v>138.31</v>
      </c>
      <c r="O399" s="185">
        <f t="shared" si="78"/>
        <v>121.57</v>
      </c>
      <c r="P399" s="224">
        <v>100.66</v>
      </c>
      <c r="Q399" s="457"/>
    </row>
    <row r="400" spans="1:17">
      <c r="C400" s="178">
        <v>8</v>
      </c>
      <c r="D400" s="184">
        <f>ROUND(G400*1.6566,2)</f>
        <v>168.33</v>
      </c>
      <c r="E400" s="185">
        <f>ROUND(G400*1.374,2)</f>
        <v>139.61000000000001</v>
      </c>
      <c r="F400" s="185">
        <f>ROUND(G400*1.2077,2)</f>
        <v>122.71</v>
      </c>
      <c r="G400" s="171">
        <v>101.61</v>
      </c>
      <c r="J400" s="167"/>
      <c r="L400" s="178">
        <v>8</v>
      </c>
      <c r="M400" s="184">
        <f t="shared" si="79"/>
        <v>166.76</v>
      </c>
      <c r="N400" s="185">
        <f t="shared" si="80"/>
        <v>138.31</v>
      </c>
      <c r="O400" s="185">
        <f t="shared" si="78"/>
        <v>121.57</v>
      </c>
      <c r="P400" s="224">
        <v>100.66</v>
      </c>
      <c r="Q400" s="457"/>
    </row>
    <row r="401" spans="1:17">
      <c r="C401" s="178">
        <v>9</v>
      </c>
      <c r="D401" s="184">
        <f>ROUND(G401*1.6566,2)</f>
        <v>168.72</v>
      </c>
      <c r="E401" s="185">
        <f>ROUND(G401*1.374,2)</f>
        <v>139.94</v>
      </c>
      <c r="F401" s="185">
        <f>ROUND(G401*1.2077,2)</f>
        <v>123</v>
      </c>
      <c r="G401" s="171">
        <v>101.85</v>
      </c>
      <c r="J401" s="167"/>
      <c r="L401" s="178">
        <v>9</v>
      </c>
      <c r="M401" s="184">
        <f t="shared" si="79"/>
        <v>166.76</v>
      </c>
      <c r="N401" s="185">
        <f t="shared" si="80"/>
        <v>138.31</v>
      </c>
      <c r="O401" s="185">
        <f t="shared" si="78"/>
        <v>121.57</v>
      </c>
      <c r="P401" s="224">
        <v>100.66</v>
      </c>
      <c r="Q401" s="457"/>
    </row>
    <row r="402" spans="1:17">
      <c r="C402" s="178">
        <v>10</v>
      </c>
      <c r="D402" s="184">
        <f>ROUND(G402*1.6566,2)</f>
        <v>169.42</v>
      </c>
      <c r="E402" s="185">
        <f>ROUND(G402*1.374,2)</f>
        <v>140.52000000000001</v>
      </c>
      <c r="F402" s="185">
        <f>ROUND(G402*1.2077,2)</f>
        <v>123.51</v>
      </c>
      <c r="G402" s="171">
        <v>102.27</v>
      </c>
      <c r="J402" s="167"/>
      <c r="L402" s="178">
        <v>10</v>
      </c>
      <c r="M402" s="184">
        <f t="shared" si="79"/>
        <v>166.76</v>
      </c>
      <c r="N402" s="185">
        <f t="shared" si="80"/>
        <v>138.31</v>
      </c>
      <c r="O402" s="185">
        <f t="shared" si="78"/>
        <v>121.57</v>
      </c>
      <c r="P402" s="224">
        <v>100.66</v>
      </c>
      <c r="Q402" s="457"/>
    </row>
    <row r="403" spans="1:17">
      <c r="C403" s="178">
        <v>11</v>
      </c>
      <c r="D403" s="184">
        <f>ROUND(G403*1.6566,2)</f>
        <v>169.44</v>
      </c>
      <c r="E403" s="185">
        <f>ROUND(G403*1.374,2)</f>
        <v>140.53</v>
      </c>
      <c r="F403" s="185">
        <f>ROUND(G403*1.2077,2)</f>
        <v>123.52</v>
      </c>
      <c r="G403" s="171">
        <v>102.28</v>
      </c>
      <c r="J403" s="167"/>
      <c r="L403" s="178">
        <v>11</v>
      </c>
      <c r="M403" s="184">
        <f t="shared" si="79"/>
        <v>166.76</v>
      </c>
      <c r="N403" s="185">
        <f t="shared" si="80"/>
        <v>138.31</v>
      </c>
      <c r="O403" s="185">
        <f t="shared" si="78"/>
        <v>121.57</v>
      </c>
      <c r="P403" s="224">
        <v>100.66</v>
      </c>
      <c r="Q403" s="457"/>
    </row>
    <row r="404" spans="1:17">
      <c r="C404" s="178">
        <v>12</v>
      </c>
      <c r="D404" s="184">
        <f>ROUND(G404*1.6566,2)</f>
        <v>169.35</v>
      </c>
      <c r="E404" s="185">
        <f>ROUND(G404*1.374,2)</f>
        <v>140.46</v>
      </c>
      <c r="F404" s="185">
        <f>ROUND(G404*1.2077,2)</f>
        <v>123.46</v>
      </c>
      <c r="G404" s="171">
        <v>102.23</v>
      </c>
      <c r="J404" s="167"/>
      <c r="L404" s="178">
        <v>12</v>
      </c>
      <c r="M404" s="184">
        <f t="shared" si="79"/>
        <v>166.76</v>
      </c>
      <c r="N404" s="185">
        <f t="shared" si="80"/>
        <v>138.31</v>
      </c>
      <c r="O404" s="185">
        <f t="shared" si="78"/>
        <v>121.57</v>
      </c>
      <c r="P404" s="224">
        <v>100.66</v>
      </c>
      <c r="Q404" s="457"/>
    </row>
    <row r="405" spans="1:17">
      <c r="B405" s="163" t="s">
        <v>242</v>
      </c>
      <c r="D405" s="181">
        <f>AVERAGE(D393:D404)</f>
        <v>168.06833333333333</v>
      </c>
      <c r="E405" s="181">
        <f>AVERAGE(E393:E404)</f>
        <v>139.39666666666668</v>
      </c>
      <c r="F405" s="181">
        <f>AVERAGE(F393:F404)</f>
        <v>122.52416666666666</v>
      </c>
      <c r="G405" s="187">
        <f>AVERAGE(G393:G404)</f>
        <v>101.45416666666667</v>
      </c>
      <c r="J405" s="167"/>
      <c r="K405" s="163" t="s">
        <v>242</v>
      </c>
      <c r="M405" s="181">
        <f>AVERAGE(M393:M404)</f>
        <v>166.70583333333335</v>
      </c>
      <c r="N405" s="181">
        <f>AVERAGE(N393:N404)</f>
        <v>138.26499999999996</v>
      </c>
      <c r="O405" s="181">
        <f>AVERAGE(O393:O404)</f>
        <v>121.53083333333331</v>
      </c>
      <c r="P405" s="225">
        <f>AVERAGE(P393:P404)</f>
        <v>100.62833333333333</v>
      </c>
      <c r="Q405" s="457"/>
    </row>
    <row r="406" spans="1:17">
      <c r="P406" s="226"/>
      <c r="Q406" s="457"/>
    </row>
    <row r="407" spans="1:17">
      <c r="P407" s="226"/>
      <c r="Q407" s="457"/>
    </row>
    <row r="408" spans="1:17">
      <c r="P408" s="226"/>
      <c r="Q408" s="457"/>
    </row>
    <row r="409" spans="1:17">
      <c r="A409" s="453">
        <v>2016</v>
      </c>
      <c r="B409" s="453"/>
      <c r="J409" s="453" t="s">
        <v>261</v>
      </c>
      <c r="K409" s="453"/>
      <c r="M409" s="169"/>
      <c r="P409" s="226"/>
      <c r="Q409" s="457"/>
    </row>
    <row r="410" spans="1:17">
      <c r="B410" s="172" t="s">
        <v>240</v>
      </c>
      <c r="D410" s="174">
        <v>1988</v>
      </c>
      <c r="E410" s="175">
        <v>1996</v>
      </c>
      <c r="F410" s="175">
        <v>2004</v>
      </c>
      <c r="G410" s="176">
        <v>2013</v>
      </c>
      <c r="J410" s="167"/>
      <c r="K410" s="172" t="s">
        <v>240</v>
      </c>
      <c r="M410" s="174">
        <v>1988</v>
      </c>
      <c r="N410" s="175">
        <v>1996</v>
      </c>
      <c r="O410" s="175">
        <v>2004</v>
      </c>
      <c r="P410" s="227">
        <v>2013</v>
      </c>
      <c r="Q410" s="457"/>
    </row>
    <row r="411" spans="1:17">
      <c r="B411" s="177" t="s">
        <v>241</v>
      </c>
      <c r="C411" s="178">
        <v>1</v>
      </c>
      <c r="D411" s="184">
        <f t="shared" ref="D411:D417" si="81">ROUND(G411*1.6566,2)</f>
        <v>169.67</v>
      </c>
      <c r="E411" s="185">
        <f t="shared" ref="E411:E417" si="82">ROUND(G411*1.374,2)</f>
        <v>140.72999999999999</v>
      </c>
      <c r="F411" s="185">
        <f t="shared" ref="F411:F417" si="83">ROUND(G411*1.2077,2)</f>
        <v>123.69</v>
      </c>
      <c r="G411" s="171">
        <v>102.42</v>
      </c>
      <c r="J411" s="167"/>
      <c r="K411" s="177" t="s">
        <v>241</v>
      </c>
      <c r="L411" s="178">
        <v>1</v>
      </c>
      <c r="M411" s="184">
        <f>ROUND($O411*1.3717,2)</f>
        <v>166.76</v>
      </c>
      <c r="N411" s="185">
        <f>ROUND($O411*1.1377,2)</f>
        <v>138.31</v>
      </c>
      <c r="O411" s="185">
        <f>ROUND(P411*1.2077,2)</f>
        <v>121.57</v>
      </c>
      <c r="P411" s="224">
        <v>100.66</v>
      </c>
      <c r="Q411" s="457"/>
    </row>
    <row r="412" spans="1:17">
      <c r="C412" s="178">
        <v>2</v>
      </c>
      <c r="D412" s="184">
        <f t="shared" si="81"/>
        <v>169.85</v>
      </c>
      <c r="E412" s="185">
        <f t="shared" si="82"/>
        <v>140.88</v>
      </c>
      <c r="F412" s="185">
        <f t="shared" si="83"/>
        <v>123.83</v>
      </c>
      <c r="G412" s="171">
        <v>102.53</v>
      </c>
      <c r="J412" s="167"/>
      <c r="L412" s="178">
        <v>2</v>
      </c>
      <c r="M412" s="184">
        <f>ROUND($O412*1.3717,2)</f>
        <v>166.76</v>
      </c>
      <c r="N412" s="185">
        <f>ROUND($O412*1.1377,2)</f>
        <v>138.31</v>
      </c>
      <c r="O412" s="185">
        <f>ROUND(P412*1.2077,2)</f>
        <v>121.57</v>
      </c>
      <c r="P412" s="224">
        <v>100.66</v>
      </c>
      <c r="Q412" s="457"/>
    </row>
    <row r="413" spans="1:17">
      <c r="C413" s="178">
        <v>3</v>
      </c>
      <c r="D413" s="184">
        <f t="shared" si="81"/>
        <v>171.41</v>
      </c>
      <c r="E413" s="185">
        <f t="shared" si="82"/>
        <v>142.16999999999999</v>
      </c>
      <c r="F413" s="185">
        <f t="shared" si="83"/>
        <v>124.96</v>
      </c>
      <c r="G413" s="171">
        <v>103.47</v>
      </c>
      <c r="J413" s="167"/>
      <c r="L413" s="178">
        <v>3</v>
      </c>
      <c r="M413" s="184">
        <f>ROUND($O413*1.3717,2)</f>
        <v>166.76</v>
      </c>
      <c r="N413" s="185">
        <f>ROUND($O413*1.1377,2)</f>
        <v>138.31</v>
      </c>
      <c r="O413" s="185">
        <f t="shared" ref="O413:O422" si="84">ROUND(P413*1.2077,2)</f>
        <v>121.57</v>
      </c>
      <c r="P413" s="224">
        <v>100.66</v>
      </c>
      <c r="Q413" s="457"/>
    </row>
    <row r="414" spans="1:17" ht="13" customHeight="1">
      <c r="C414" s="178">
        <v>4</v>
      </c>
      <c r="D414" s="184">
        <f t="shared" si="81"/>
        <v>171.51</v>
      </c>
      <c r="E414" s="185">
        <f t="shared" si="82"/>
        <v>142.25</v>
      </c>
      <c r="F414" s="185">
        <f t="shared" si="83"/>
        <v>125.03</v>
      </c>
      <c r="G414" s="171">
        <v>103.53</v>
      </c>
      <c r="J414" s="167"/>
      <c r="L414" s="178">
        <v>4</v>
      </c>
      <c r="M414" s="184">
        <f>ROUND($O414*1.3717,2)</f>
        <v>167.2</v>
      </c>
      <c r="N414" s="185">
        <f>ROUND($O414*1.1377,2)</f>
        <v>138.66999999999999</v>
      </c>
      <c r="O414" s="185">
        <f t="shared" si="84"/>
        <v>121.89</v>
      </c>
      <c r="P414" s="221">
        <v>100.93</v>
      </c>
      <c r="Q414" s="458" t="s">
        <v>264</v>
      </c>
    </row>
    <row r="415" spans="1:17">
      <c r="C415" s="178">
        <v>5</v>
      </c>
      <c r="D415" s="184">
        <f t="shared" si="81"/>
        <v>171.91</v>
      </c>
      <c r="E415" s="185">
        <f t="shared" si="82"/>
        <v>142.58000000000001</v>
      </c>
      <c r="F415" s="185">
        <f t="shared" si="83"/>
        <v>125.32</v>
      </c>
      <c r="G415" s="171">
        <v>103.77</v>
      </c>
      <c r="J415" s="167"/>
      <c r="L415" s="178">
        <v>5</v>
      </c>
      <c r="M415" s="184">
        <f>ROUND($O415*1.3717,2)</f>
        <v>167.75</v>
      </c>
      <c r="N415" s="185">
        <f>ROUND($O415*1.1377,2)</f>
        <v>139.13</v>
      </c>
      <c r="O415" s="185">
        <f t="shared" si="84"/>
        <v>122.29</v>
      </c>
      <c r="P415" s="221">
        <v>101.26</v>
      </c>
      <c r="Q415" s="458"/>
    </row>
    <row r="416" spans="1:17">
      <c r="C416" s="178">
        <v>6</v>
      </c>
      <c r="D416" s="184">
        <f t="shared" si="81"/>
        <v>171.86</v>
      </c>
      <c r="E416" s="185">
        <f t="shared" si="82"/>
        <v>142.54</v>
      </c>
      <c r="F416" s="185">
        <f t="shared" si="83"/>
        <v>125.29</v>
      </c>
      <c r="G416" s="171">
        <v>103.74</v>
      </c>
      <c r="J416" s="167"/>
      <c r="L416" s="178">
        <v>6</v>
      </c>
      <c r="M416" s="184">
        <f t="shared" ref="M416:M422" si="85">ROUND($O416*1.3717,2)</f>
        <v>168.23</v>
      </c>
      <c r="N416" s="185">
        <f t="shared" ref="N416:N422" si="86">ROUND($O416*1.1377,2)</f>
        <v>139.53</v>
      </c>
      <c r="O416" s="185">
        <f t="shared" si="84"/>
        <v>122.64</v>
      </c>
      <c r="P416" s="221">
        <f>ROUND(AVERAGE(G413:G416)*98%,2)</f>
        <v>101.55</v>
      </c>
      <c r="Q416" s="458"/>
    </row>
    <row r="417" spans="1:17">
      <c r="C417" s="178">
        <v>7</v>
      </c>
      <c r="D417" s="184">
        <f t="shared" si="81"/>
        <v>172.17</v>
      </c>
      <c r="E417" s="185">
        <f t="shared" si="82"/>
        <v>142.80000000000001</v>
      </c>
      <c r="F417" s="185">
        <f t="shared" si="83"/>
        <v>125.52</v>
      </c>
      <c r="G417" s="171">
        <v>103.93</v>
      </c>
      <c r="J417" s="167"/>
      <c r="L417" s="178">
        <v>7</v>
      </c>
      <c r="M417" s="184">
        <f t="shared" si="85"/>
        <v>168.43</v>
      </c>
      <c r="N417" s="185">
        <f t="shared" si="86"/>
        <v>139.69999999999999</v>
      </c>
      <c r="O417" s="185">
        <f t="shared" si="84"/>
        <v>122.79</v>
      </c>
      <c r="P417" s="221">
        <f t="shared" ref="P417:P422" si="87">ROUND(AVERAGE(G414:G417)*98%,2)</f>
        <v>101.67</v>
      </c>
      <c r="Q417" s="458"/>
    </row>
    <row r="418" spans="1:17">
      <c r="C418" s="178">
        <v>8</v>
      </c>
      <c r="D418" s="184">
        <f>ROUND(G418*1.6566,2)</f>
        <v>172.24</v>
      </c>
      <c r="E418" s="185">
        <f>ROUND(G418*1.374,2)</f>
        <v>142.85</v>
      </c>
      <c r="F418" s="185">
        <f>ROUND(G418*1.2077,2)</f>
        <v>125.56</v>
      </c>
      <c r="G418" s="171">
        <v>103.97</v>
      </c>
      <c r="J418" s="167"/>
      <c r="L418" s="178">
        <v>8</v>
      </c>
      <c r="M418" s="184">
        <f t="shared" si="85"/>
        <v>168.61</v>
      </c>
      <c r="N418" s="185">
        <f t="shared" si="86"/>
        <v>139.85</v>
      </c>
      <c r="O418" s="185">
        <f t="shared" si="84"/>
        <v>122.92</v>
      </c>
      <c r="P418" s="221">
        <f t="shared" si="87"/>
        <v>101.78</v>
      </c>
      <c r="Q418" s="458"/>
    </row>
    <row r="419" spans="1:17">
      <c r="C419" s="178">
        <v>9</v>
      </c>
      <c r="D419" s="184">
        <f>ROUND(G419*1.6566,2)</f>
        <v>171.76</v>
      </c>
      <c r="E419" s="185">
        <f>ROUND(G419*1.374,2)</f>
        <v>142.46</v>
      </c>
      <c r="F419" s="185">
        <f>ROUND(G419*1.2077,2)</f>
        <v>125.21</v>
      </c>
      <c r="G419" s="171">
        <v>103.68</v>
      </c>
      <c r="J419" s="167"/>
      <c r="L419" s="178">
        <v>9</v>
      </c>
      <c r="M419" s="184">
        <f t="shared" si="85"/>
        <v>168.55</v>
      </c>
      <c r="N419" s="185">
        <f t="shared" si="86"/>
        <v>139.80000000000001</v>
      </c>
      <c r="O419" s="185">
        <f t="shared" si="84"/>
        <v>122.88</v>
      </c>
      <c r="P419" s="221">
        <f t="shared" si="87"/>
        <v>101.75</v>
      </c>
      <c r="Q419" s="458"/>
    </row>
    <row r="420" spans="1:17">
      <c r="C420" s="178">
        <v>10</v>
      </c>
      <c r="D420" s="184">
        <f>ROUND(G420*1.6566,2)</f>
        <v>172.05</v>
      </c>
      <c r="E420" s="185">
        <f>ROUND(G420*1.374,2)</f>
        <v>142.69999999999999</v>
      </c>
      <c r="F420" s="185">
        <f>ROUND(G420*1.2077,2)</f>
        <v>125.43</v>
      </c>
      <c r="G420" s="171">
        <v>103.86</v>
      </c>
      <c r="J420" s="167"/>
      <c r="L420" s="178">
        <v>10</v>
      </c>
      <c r="M420" s="184">
        <f t="shared" si="85"/>
        <v>168.61</v>
      </c>
      <c r="N420" s="185">
        <f t="shared" si="86"/>
        <v>139.85</v>
      </c>
      <c r="O420" s="185">
        <f t="shared" si="84"/>
        <v>122.92</v>
      </c>
      <c r="P420" s="221">
        <f t="shared" si="87"/>
        <v>101.78</v>
      </c>
      <c r="Q420" s="458"/>
    </row>
    <row r="421" spans="1:17">
      <c r="C421" s="178">
        <v>11</v>
      </c>
      <c r="D421" s="184">
        <f>ROUND(G421*1.6566,2)</f>
        <v>172.24</v>
      </c>
      <c r="E421" s="185">
        <f>ROUND(G421*1.374,2)</f>
        <v>142.85</v>
      </c>
      <c r="F421" s="185">
        <f>ROUND(G421*1.2077,2)</f>
        <v>125.56</v>
      </c>
      <c r="G421" s="171">
        <v>103.97</v>
      </c>
      <c r="J421" s="167"/>
      <c r="L421" s="178">
        <v>11</v>
      </c>
      <c r="M421" s="184">
        <f t="shared" si="85"/>
        <v>168.62</v>
      </c>
      <c r="N421" s="185">
        <f t="shared" si="86"/>
        <v>139.86000000000001</v>
      </c>
      <c r="O421" s="185">
        <f t="shared" si="84"/>
        <v>122.93</v>
      </c>
      <c r="P421" s="221">
        <f t="shared" si="87"/>
        <v>101.79</v>
      </c>
      <c r="Q421" s="458"/>
    </row>
    <row r="422" spans="1:17">
      <c r="C422" s="178">
        <v>12</v>
      </c>
      <c r="D422" s="184">
        <f>ROUND(G422*1.6566,2)</f>
        <v>172.37</v>
      </c>
      <c r="E422" s="185">
        <f>ROUND(G422*1.374,2)</f>
        <v>142.96</v>
      </c>
      <c r="F422" s="185">
        <f>ROUND(G422*1.2077,2)</f>
        <v>125.66</v>
      </c>
      <c r="G422" s="171">
        <v>104.05</v>
      </c>
      <c r="J422" s="167"/>
      <c r="L422" s="178">
        <v>12</v>
      </c>
      <c r="M422" s="184">
        <f t="shared" si="85"/>
        <v>168.66</v>
      </c>
      <c r="N422" s="185">
        <f t="shared" si="86"/>
        <v>139.88999999999999</v>
      </c>
      <c r="O422" s="185">
        <f t="shared" si="84"/>
        <v>122.96</v>
      </c>
      <c r="P422" s="221">
        <f t="shared" si="87"/>
        <v>101.81</v>
      </c>
      <c r="Q422" s="458"/>
    </row>
    <row r="423" spans="1:17">
      <c r="B423" s="163" t="s">
        <v>242</v>
      </c>
      <c r="D423" s="181">
        <f>AVERAGE(D411:D422)</f>
        <v>171.58666666666667</v>
      </c>
      <c r="E423" s="181">
        <f>AVERAGE(E411:E422)</f>
        <v>142.31416666666667</v>
      </c>
      <c r="F423" s="181">
        <f>AVERAGE(F411:F422)</f>
        <v>125.08833333333332</v>
      </c>
      <c r="G423" s="187">
        <f>AVERAGE(G411:G422)</f>
        <v>103.57666666666665</v>
      </c>
      <c r="J423" s="167"/>
      <c r="K423" s="163" t="s">
        <v>242</v>
      </c>
      <c r="M423" s="181">
        <f>AVERAGE(M411:M422)</f>
        <v>167.91166666666666</v>
      </c>
      <c r="N423" s="181">
        <f>AVERAGE(N411:N422)</f>
        <v>139.26749999999996</v>
      </c>
      <c r="O423" s="181">
        <f>AVERAGE(O411:O422)</f>
        <v>122.41083333333334</v>
      </c>
      <c r="P423" s="181">
        <f>AVERAGE(P411:P422)</f>
        <v>101.35833333333333</v>
      </c>
      <c r="Q423" s="458"/>
    </row>
    <row r="424" spans="1:17">
      <c r="Q424" s="458"/>
    </row>
    <row r="425" spans="1:17">
      <c r="Q425" s="458"/>
    </row>
    <row r="426" spans="1:17">
      <c r="Q426" s="458"/>
    </row>
    <row r="427" spans="1:17">
      <c r="A427" s="453">
        <v>2017</v>
      </c>
      <c r="B427" s="453"/>
      <c r="J427" s="453" t="s">
        <v>262</v>
      </c>
      <c r="K427" s="453"/>
      <c r="M427" s="169"/>
      <c r="Q427" s="458"/>
    </row>
    <row r="428" spans="1:17">
      <c r="B428" s="172" t="s">
        <v>240</v>
      </c>
      <c r="D428" s="174">
        <v>1988</v>
      </c>
      <c r="E428" s="175">
        <v>1996</v>
      </c>
      <c r="F428" s="175">
        <v>2004</v>
      </c>
      <c r="G428" s="176">
        <v>2013</v>
      </c>
      <c r="J428" s="167"/>
      <c r="K428" s="172" t="s">
        <v>240</v>
      </c>
      <c r="M428" s="174">
        <v>1988</v>
      </c>
      <c r="N428" s="175">
        <v>1996</v>
      </c>
      <c r="O428" s="175">
        <v>2004</v>
      </c>
      <c r="P428" s="176">
        <v>2013</v>
      </c>
      <c r="Q428" s="458"/>
    </row>
    <row r="429" spans="1:17">
      <c r="B429" s="177" t="s">
        <v>241</v>
      </c>
      <c r="C429" s="178">
        <v>1</v>
      </c>
      <c r="D429" s="184">
        <f t="shared" ref="D429:D440" si="88">ROUND(G429*1.6566,2)</f>
        <v>173.36</v>
      </c>
      <c r="E429" s="185">
        <f t="shared" ref="E429:E440" si="89">ROUND(G429*1.374,2)</f>
        <v>143.79</v>
      </c>
      <c r="F429" s="185">
        <f t="shared" ref="F429:F439" si="90">ROUND(G429*1.2077,2)</f>
        <v>126.39</v>
      </c>
      <c r="G429" s="171">
        <v>104.65</v>
      </c>
      <c r="J429" s="167"/>
      <c r="K429" s="177" t="s">
        <v>241</v>
      </c>
      <c r="L429" s="178">
        <v>1</v>
      </c>
      <c r="M429" s="184">
        <f>ROUND($O429*1.3717,2)</f>
        <v>169.06</v>
      </c>
      <c r="N429" s="185">
        <f>ROUND($O429*1.1377,2)</f>
        <v>140.22</v>
      </c>
      <c r="O429" s="185">
        <f>ROUND(P429*1.2077,2)</f>
        <v>123.25</v>
      </c>
      <c r="P429" s="222">
        <f>ROUND(AVERAGE(G420:G422,G429)*98%,2)</f>
        <v>102.05</v>
      </c>
      <c r="Q429" s="458"/>
    </row>
    <row r="430" spans="1:17">
      <c r="C430" s="178">
        <v>2</v>
      </c>
      <c r="D430" s="184">
        <f t="shared" si="88"/>
        <v>174.04</v>
      </c>
      <c r="E430" s="185">
        <f t="shared" si="89"/>
        <v>144.35</v>
      </c>
      <c r="F430" s="185">
        <f t="shared" si="90"/>
        <v>126.88</v>
      </c>
      <c r="G430" s="171">
        <v>105.06</v>
      </c>
      <c r="J430" s="167"/>
      <c r="L430" s="178">
        <v>2</v>
      </c>
      <c r="M430" s="184">
        <f>ROUND($O430*1.3717,2)</f>
        <v>169.54</v>
      </c>
      <c r="N430" s="185">
        <f>ROUND($O430*1.1377,2)</f>
        <v>140.62</v>
      </c>
      <c r="O430" s="185">
        <f>ROUND(P430*1.2077,2)</f>
        <v>123.6</v>
      </c>
      <c r="P430" s="222">
        <f>ROUND(AVERAGE(G421:G422,G429:G430)*98%,2)</f>
        <v>102.34</v>
      </c>
      <c r="Q430" s="458"/>
    </row>
    <row r="431" spans="1:17">
      <c r="C431" s="178">
        <v>3</v>
      </c>
      <c r="D431" s="184">
        <f t="shared" si="88"/>
        <v>174.47</v>
      </c>
      <c r="E431" s="185">
        <f t="shared" si="89"/>
        <v>144.71</v>
      </c>
      <c r="F431" s="185">
        <f t="shared" si="90"/>
        <v>127.19</v>
      </c>
      <c r="G431" s="171">
        <v>105.32</v>
      </c>
      <c r="J431" s="167"/>
      <c r="L431" s="178">
        <v>3</v>
      </c>
      <c r="M431" s="184">
        <f>ROUND($O431*1.3717,2)</f>
        <v>170.08</v>
      </c>
      <c r="N431" s="185">
        <f>ROUND($O431*1.1377,2)</f>
        <v>141.06</v>
      </c>
      <c r="O431" s="185">
        <f t="shared" ref="O431:O440" si="91">ROUND(P431*1.2077,2)</f>
        <v>123.99</v>
      </c>
      <c r="P431" s="222">
        <f>ROUND(AVERAGE(G422,G429:G431)*98%,2)</f>
        <v>102.67</v>
      </c>
      <c r="Q431" s="458"/>
    </row>
    <row r="432" spans="1:17">
      <c r="C432" s="178">
        <v>4</v>
      </c>
      <c r="D432" s="184">
        <f t="shared" si="88"/>
        <v>174.71</v>
      </c>
      <c r="E432" s="185">
        <f t="shared" si="89"/>
        <v>144.9</v>
      </c>
      <c r="F432" s="185">
        <f t="shared" si="90"/>
        <v>127.36</v>
      </c>
      <c r="G432" s="171">
        <v>105.46</v>
      </c>
      <c r="J432" s="167"/>
      <c r="L432" s="178">
        <v>4</v>
      </c>
      <c r="M432" s="184">
        <f>ROUND($O432*1.3717,2)</f>
        <v>170.67</v>
      </c>
      <c r="N432" s="185">
        <f>ROUND($O432*1.1377,2)</f>
        <v>141.55000000000001</v>
      </c>
      <c r="O432" s="185">
        <f t="shared" si="91"/>
        <v>124.42</v>
      </c>
      <c r="P432" s="221">
        <f>ROUND(AVERAGE(G429:G432)*98%,2)</f>
        <v>103.02</v>
      </c>
    </row>
    <row r="433" spans="1:16">
      <c r="C433" s="178">
        <v>5</v>
      </c>
      <c r="D433" s="184">
        <f t="shared" si="88"/>
        <v>174.64</v>
      </c>
      <c r="E433" s="185">
        <f t="shared" si="89"/>
        <v>144.85</v>
      </c>
      <c r="F433" s="185">
        <f t="shared" si="90"/>
        <v>127.32</v>
      </c>
      <c r="G433" s="171">
        <v>105.42</v>
      </c>
      <c r="J433" s="167"/>
      <c r="L433" s="178">
        <v>5</v>
      </c>
      <c r="M433" s="184">
        <f>ROUND($O433*1.3717,2)</f>
        <v>170.98</v>
      </c>
      <c r="N433" s="185">
        <f>ROUND($O433*1.1377,2)</f>
        <v>141.81</v>
      </c>
      <c r="O433" s="185">
        <f t="shared" si="91"/>
        <v>124.65</v>
      </c>
      <c r="P433" s="221">
        <f t="shared" ref="P433:P438" si="92">ROUND(AVERAGE(G430:G433)*98%,2)</f>
        <v>103.21</v>
      </c>
    </row>
    <row r="434" spans="1:16">
      <c r="C434" s="178">
        <v>6</v>
      </c>
      <c r="D434" s="184">
        <f t="shared" si="88"/>
        <v>174.42</v>
      </c>
      <c r="E434" s="185">
        <f t="shared" si="89"/>
        <v>144.66999999999999</v>
      </c>
      <c r="F434" s="185">
        <f t="shared" si="90"/>
        <v>127.16</v>
      </c>
      <c r="G434" s="171">
        <v>105.29</v>
      </c>
      <c r="J434" s="167"/>
      <c r="L434" s="178">
        <v>6</v>
      </c>
      <c r="M434" s="184">
        <f t="shared" ref="M434:M440" si="93">ROUND($O434*1.3717,2)</f>
        <v>171.08</v>
      </c>
      <c r="N434" s="185">
        <f t="shared" ref="N434:N440" si="94">ROUND($O434*1.1377,2)</f>
        <v>141.88999999999999</v>
      </c>
      <c r="O434" s="185">
        <f t="shared" si="91"/>
        <v>124.72</v>
      </c>
      <c r="P434" s="221">
        <f t="shared" si="92"/>
        <v>103.27</v>
      </c>
    </row>
    <row r="435" spans="1:16">
      <c r="C435" s="178">
        <v>7</v>
      </c>
      <c r="D435" s="184">
        <f t="shared" si="88"/>
        <v>174.99</v>
      </c>
      <c r="E435" s="185">
        <f t="shared" si="89"/>
        <v>145.13999999999999</v>
      </c>
      <c r="F435" s="185">
        <f t="shared" si="90"/>
        <v>127.57</v>
      </c>
      <c r="G435" s="171">
        <v>105.63</v>
      </c>
      <c r="J435" s="167"/>
      <c r="L435" s="178">
        <v>7</v>
      </c>
      <c r="M435" s="184">
        <f t="shared" si="93"/>
        <v>171.19</v>
      </c>
      <c r="N435" s="185">
        <f t="shared" si="94"/>
        <v>141.97999999999999</v>
      </c>
      <c r="O435" s="185">
        <f t="shared" si="91"/>
        <v>124.8</v>
      </c>
      <c r="P435" s="221">
        <f t="shared" si="92"/>
        <v>103.34</v>
      </c>
    </row>
    <row r="436" spans="1:16">
      <c r="C436" s="178">
        <v>8</v>
      </c>
      <c r="D436" s="184">
        <f t="shared" si="88"/>
        <v>175.07</v>
      </c>
      <c r="E436" s="185">
        <f t="shared" si="89"/>
        <v>145.19999999999999</v>
      </c>
      <c r="F436" s="185">
        <f t="shared" si="90"/>
        <v>127.63</v>
      </c>
      <c r="G436" s="171">
        <v>105.68</v>
      </c>
      <c r="J436" s="167"/>
      <c r="L436" s="178">
        <v>8</v>
      </c>
      <c r="M436" s="184">
        <f t="shared" si="93"/>
        <v>171.27</v>
      </c>
      <c r="N436" s="185">
        <f t="shared" si="94"/>
        <v>142.05000000000001</v>
      </c>
      <c r="O436" s="185">
        <f t="shared" si="91"/>
        <v>124.86</v>
      </c>
      <c r="P436" s="221">
        <f t="shared" si="92"/>
        <v>103.39</v>
      </c>
    </row>
    <row r="437" spans="1:16">
      <c r="C437" s="178">
        <v>9</v>
      </c>
      <c r="D437" s="184">
        <f t="shared" si="88"/>
        <v>174.79</v>
      </c>
      <c r="E437" s="185">
        <f t="shared" si="89"/>
        <v>144.97</v>
      </c>
      <c r="F437" s="185">
        <f t="shared" si="90"/>
        <v>127.42</v>
      </c>
      <c r="G437" s="171">
        <v>105.51</v>
      </c>
      <c r="J437" s="167"/>
      <c r="L437" s="178">
        <v>9</v>
      </c>
      <c r="M437" s="184">
        <f t="shared" si="93"/>
        <v>171.33</v>
      </c>
      <c r="N437" s="185">
        <f t="shared" si="94"/>
        <v>142.1</v>
      </c>
      <c r="O437" s="185">
        <f t="shared" si="91"/>
        <v>124.9</v>
      </c>
      <c r="P437" s="221">
        <f t="shared" si="92"/>
        <v>103.42</v>
      </c>
    </row>
    <row r="438" spans="1:16">
      <c r="C438" s="178">
        <v>10</v>
      </c>
      <c r="D438" s="184">
        <f t="shared" si="88"/>
        <v>175.33</v>
      </c>
      <c r="E438" s="185">
        <f t="shared" si="89"/>
        <v>145.41999999999999</v>
      </c>
      <c r="F438" s="185">
        <f t="shared" si="90"/>
        <v>127.82</v>
      </c>
      <c r="G438" s="171">
        <v>105.84</v>
      </c>
      <c r="J438" s="167"/>
      <c r="L438" s="178">
        <v>10</v>
      </c>
      <c r="M438" s="184">
        <f t="shared" si="93"/>
        <v>171.54</v>
      </c>
      <c r="N438" s="185">
        <f t="shared" si="94"/>
        <v>142.28</v>
      </c>
      <c r="O438" s="185">
        <f t="shared" si="91"/>
        <v>125.06</v>
      </c>
      <c r="P438" s="221">
        <f t="shared" si="92"/>
        <v>103.55</v>
      </c>
    </row>
    <row r="439" spans="1:16">
      <c r="C439" s="178">
        <v>11</v>
      </c>
      <c r="D439" s="184">
        <f t="shared" si="88"/>
        <v>175.35</v>
      </c>
      <c r="E439" s="185">
        <f t="shared" si="89"/>
        <v>145.44</v>
      </c>
      <c r="F439" s="185">
        <f t="shared" si="90"/>
        <v>127.84</v>
      </c>
      <c r="G439" s="171">
        <v>105.85</v>
      </c>
      <c r="J439" s="167"/>
      <c r="L439" s="178">
        <v>11</v>
      </c>
      <c r="M439" s="184">
        <f t="shared" si="93"/>
        <v>171.64</v>
      </c>
      <c r="N439" s="185">
        <f t="shared" si="94"/>
        <v>142.36000000000001</v>
      </c>
      <c r="O439" s="185">
        <f t="shared" si="91"/>
        <v>125.13</v>
      </c>
      <c r="P439" s="221">
        <f>ROUND(AVERAGE(G436:G439)*98%,2)</f>
        <v>103.61</v>
      </c>
    </row>
    <row r="440" spans="1:16">
      <c r="C440" s="178">
        <v>12</v>
      </c>
      <c r="D440" s="184">
        <f t="shared" si="88"/>
        <v>175.85</v>
      </c>
      <c r="E440" s="185">
        <f t="shared" si="89"/>
        <v>145.85</v>
      </c>
      <c r="F440" s="185">
        <f>ROUND(G440*1.2077,2)</f>
        <v>128.19999999999999</v>
      </c>
      <c r="G440" s="171">
        <v>106.15</v>
      </c>
      <c r="J440" s="167"/>
      <c r="L440" s="178">
        <v>12</v>
      </c>
      <c r="M440" s="184">
        <f t="shared" si="93"/>
        <v>171.82</v>
      </c>
      <c r="N440" s="185">
        <f t="shared" si="94"/>
        <v>142.51</v>
      </c>
      <c r="O440" s="185">
        <f t="shared" si="91"/>
        <v>125.26</v>
      </c>
      <c r="P440" s="221">
        <f>ROUND(AVERAGE(G437:G440)*98%,2)</f>
        <v>103.72</v>
      </c>
    </row>
    <row r="441" spans="1:16">
      <c r="B441" s="163" t="s">
        <v>242</v>
      </c>
      <c r="D441" s="181">
        <f>AVERAGE(D429:D440)</f>
        <v>174.75166666666667</v>
      </c>
      <c r="E441" s="181">
        <f>AVERAGE(E429:E440)</f>
        <v>144.94083333333333</v>
      </c>
      <c r="F441" s="181">
        <f>AVERAGE(F429:F440)</f>
        <v>127.39833333333331</v>
      </c>
      <c r="G441" s="187">
        <f>AVERAGE(G429:G440)</f>
        <v>105.48833333333333</v>
      </c>
      <c r="J441" s="167"/>
      <c r="K441" s="163" t="s">
        <v>242</v>
      </c>
      <c r="M441" s="181">
        <f>AVERAGE(M429:M440)</f>
        <v>170.85000000000002</v>
      </c>
      <c r="N441" s="181">
        <f>AVERAGE(N429:N440)</f>
        <v>141.70250000000001</v>
      </c>
      <c r="O441" s="181">
        <f>AVERAGE(O429:O440)</f>
        <v>124.55333333333334</v>
      </c>
      <c r="P441" s="181">
        <f>AVERAGE(P429:P440)</f>
        <v>103.13249999999999</v>
      </c>
    </row>
    <row r="443" spans="1:16">
      <c r="A443" s="453">
        <v>2018</v>
      </c>
      <c r="B443" s="453"/>
      <c r="J443" s="453" t="s">
        <v>293</v>
      </c>
      <c r="K443" s="453"/>
      <c r="M443" s="169"/>
    </row>
    <row r="444" spans="1:16">
      <c r="B444" s="172" t="s">
        <v>240</v>
      </c>
      <c r="D444" s="174">
        <v>1988</v>
      </c>
      <c r="E444" s="175">
        <v>1996</v>
      </c>
      <c r="F444" s="175">
        <v>2004</v>
      </c>
      <c r="G444" s="176">
        <v>2013</v>
      </c>
      <c r="J444" s="167"/>
      <c r="K444" s="172" t="s">
        <v>240</v>
      </c>
      <c r="M444" s="174">
        <v>1988</v>
      </c>
      <c r="N444" s="175">
        <v>1996</v>
      </c>
      <c r="O444" s="175">
        <v>2004</v>
      </c>
      <c r="P444" s="176">
        <v>2013</v>
      </c>
    </row>
    <row r="445" spans="1:16">
      <c r="B445" s="177" t="s">
        <v>241</v>
      </c>
      <c r="C445" s="178">
        <v>1</v>
      </c>
      <c r="D445" s="184">
        <f t="shared" ref="D445:D450" si="95">ROUND(G445*1.6566,2)</f>
        <v>176.21</v>
      </c>
      <c r="E445" s="185">
        <f t="shared" ref="E445:E450" si="96">ROUND(G445*1.374,2)</f>
        <v>146.15</v>
      </c>
      <c r="F445" s="185">
        <f t="shared" ref="F445:F451" si="97">ROUND(G445*1.2077,2)</f>
        <v>128.46</v>
      </c>
      <c r="G445" s="171">
        <v>106.37</v>
      </c>
      <c r="J445" s="167"/>
      <c r="K445" s="177" t="s">
        <v>241</v>
      </c>
      <c r="L445" s="178">
        <v>1</v>
      </c>
      <c r="M445" s="184">
        <f>ROUND($O445*1.3717,2)</f>
        <v>172.18</v>
      </c>
      <c r="N445" s="185">
        <f>ROUND($O445*1.1377,2)</f>
        <v>142.80000000000001</v>
      </c>
      <c r="O445" s="185">
        <f>ROUND(P445*1.2077,2)</f>
        <v>125.52</v>
      </c>
      <c r="P445" s="222">
        <f>ROUND(AVERAGE(G438:G440,G445)*98%,2)</f>
        <v>103.93</v>
      </c>
    </row>
    <row r="446" spans="1:16">
      <c r="C446" s="178">
        <v>2</v>
      </c>
      <c r="D446" s="184">
        <f t="shared" si="95"/>
        <v>176.49</v>
      </c>
      <c r="E446" s="185">
        <f t="shared" si="96"/>
        <v>146.38999999999999</v>
      </c>
      <c r="F446" s="185">
        <f t="shared" si="97"/>
        <v>128.66999999999999</v>
      </c>
      <c r="G446" s="171">
        <v>106.54</v>
      </c>
      <c r="J446" s="167"/>
      <c r="L446" s="178">
        <v>2</v>
      </c>
      <c r="M446" s="184">
        <f>ROUND($O446*1.3717,2)</f>
        <v>172.45</v>
      </c>
      <c r="N446" s="185">
        <f>ROUND($O446*1.1377,2)</f>
        <v>143.03</v>
      </c>
      <c r="O446" s="185">
        <f>ROUND(P446*1.2077,2)</f>
        <v>125.72</v>
      </c>
      <c r="P446" s="222">
        <f>ROUND(AVERAGE(G439:G440,G445:G446)*98%,2)</f>
        <v>104.1</v>
      </c>
    </row>
    <row r="447" spans="1:16">
      <c r="C447" s="178">
        <v>3</v>
      </c>
      <c r="D447" s="184">
        <f t="shared" si="95"/>
        <v>176.78</v>
      </c>
      <c r="E447" s="185">
        <f t="shared" si="96"/>
        <v>146.62</v>
      </c>
      <c r="F447" s="185">
        <f t="shared" si="97"/>
        <v>128.87</v>
      </c>
      <c r="G447" s="171">
        <v>106.71</v>
      </c>
      <c r="J447" s="167"/>
      <c r="L447" s="178">
        <v>3</v>
      </c>
      <c r="M447" s="184">
        <f>ROUND($O447*1.3717,2)</f>
        <v>172.81</v>
      </c>
      <c r="N447" s="185">
        <f>ROUND($O447*1.1377,2)</f>
        <v>143.33000000000001</v>
      </c>
      <c r="O447" s="185">
        <f t="shared" ref="O447:O456" si="98">ROUND(P447*1.2077,2)</f>
        <v>125.98</v>
      </c>
      <c r="P447" s="222">
        <f>ROUND(AVERAGE(G440,G445:G447)*98%,2)</f>
        <v>104.31</v>
      </c>
    </row>
    <row r="448" spans="1:16">
      <c r="C448" s="178">
        <v>4</v>
      </c>
      <c r="D448" s="184">
        <f t="shared" si="95"/>
        <v>177.07</v>
      </c>
      <c r="E448" s="185">
        <f t="shared" si="96"/>
        <v>146.87</v>
      </c>
      <c r="F448" s="185">
        <f t="shared" si="97"/>
        <v>129.09</v>
      </c>
      <c r="G448" s="171">
        <v>106.89</v>
      </c>
      <c r="J448" s="167"/>
      <c r="L448" s="178">
        <v>4</v>
      </c>
      <c r="M448" s="184">
        <f>ROUND($O448*1.3717,2)</f>
        <v>173.09</v>
      </c>
      <c r="N448" s="185">
        <f>ROUND($O448*1.1377,2)</f>
        <v>143.57</v>
      </c>
      <c r="O448" s="185">
        <f t="shared" si="98"/>
        <v>126.19</v>
      </c>
      <c r="P448" s="221">
        <f t="shared" ref="P448:P456" si="99">ROUND(AVERAGE(G445:G448)*98%,2)</f>
        <v>104.49</v>
      </c>
    </row>
    <row r="449" spans="1:16">
      <c r="C449" s="178">
        <v>5</v>
      </c>
      <c r="D449" s="184">
        <f t="shared" si="95"/>
        <v>177.24</v>
      </c>
      <c r="E449" s="185">
        <f t="shared" si="96"/>
        <v>147</v>
      </c>
      <c r="F449" s="185">
        <f t="shared" si="97"/>
        <v>129.21</v>
      </c>
      <c r="G449" s="171">
        <v>106.99</v>
      </c>
      <c r="J449" s="167"/>
      <c r="L449" s="178">
        <v>5</v>
      </c>
      <c r="M449" s="184">
        <f>ROUND($O449*1.3717,2)</f>
        <v>173.37</v>
      </c>
      <c r="N449" s="185">
        <f>ROUND($O449*1.1377,2)</f>
        <v>143.79</v>
      </c>
      <c r="O449" s="185">
        <f t="shared" si="98"/>
        <v>126.39</v>
      </c>
      <c r="P449" s="221">
        <f t="shared" si="99"/>
        <v>104.65</v>
      </c>
    </row>
    <row r="450" spans="1:16">
      <c r="C450" s="178">
        <v>6</v>
      </c>
      <c r="D450" s="184">
        <f t="shared" si="95"/>
        <v>177.27</v>
      </c>
      <c r="E450" s="185">
        <f t="shared" si="96"/>
        <v>147.03</v>
      </c>
      <c r="F450" s="185">
        <f t="shared" si="97"/>
        <v>129.24</v>
      </c>
      <c r="G450" s="171">
        <v>107.01</v>
      </c>
      <c r="J450" s="167"/>
      <c r="L450" s="178">
        <v>6</v>
      </c>
      <c r="M450" s="184">
        <f t="shared" ref="M450:M456" si="100">ROUND($O450*1.3717,2)</f>
        <v>173.55</v>
      </c>
      <c r="N450" s="185">
        <f t="shared" ref="N450:N456" si="101">ROUND($O450*1.1377,2)</f>
        <v>143.94</v>
      </c>
      <c r="O450" s="185">
        <f t="shared" si="98"/>
        <v>126.52</v>
      </c>
      <c r="P450" s="221">
        <f t="shared" si="99"/>
        <v>104.76</v>
      </c>
    </row>
    <row r="451" spans="1:16">
      <c r="C451" s="178">
        <v>7</v>
      </c>
      <c r="D451" s="184">
        <f>ROUND(G451*1.6566,2)</f>
        <v>177.99</v>
      </c>
      <c r="E451" s="185">
        <f>ROUND(G451*1.374,2)</f>
        <v>147.62</v>
      </c>
      <c r="F451" s="185">
        <f t="shared" si="97"/>
        <v>129.76</v>
      </c>
      <c r="G451" s="171">
        <v>107.44</v>
      </c>
      <c r="J451" s="167"/>
      <c r="L451" s="178">
        <v>7</v>
      </c>
      <c r="M451" s="184">
        <f t="shared" si="100"/>
        <v>173.85</v>
      </c>
      <c r="N451" s="185">
        <f t="shared" si="101"/>
        <v>144.19</v>
      </c>
      <c r="O451" s="185">
        <f t="shared" si="98"/>
        <v>126.74</v>
      </c>
      <c r="P451" s="221">
        <f t="shared" si="99"/>
        <v>104.94</v>
      </c>
    </row>
    <row r="452" spans="1:16">
      <c r="C452" s="178">
        <v>8</v>
      </c>
      <c r="D452" s="184">
        <f>ROUND(G452*1.6566,2)</f>
        <v>178.17</v>
      </c>
      <c r="E452" s="185">
        <f>ROUND(G452*1.374,2)</f>
        <v>147.77000000000001</v>
      </c>
      <c r="F452" s="185">
        <f>ROUND(G452*1.2077,2)</f>
        <v>129.88999999999999</v>
      </c>
      <c r="G452" s="171">
        <v>107.55</v>
      </c>
      <c r="J452" s="167"/>
      <c r="L452" s="178">
        <v>8</v>
      </c>
      <c r="M452" s="184">
        <f t="shared" si="100"/>
        <v>174.11</v>
      </c>
      <c r="N452" s="185">
        <f t="shared" si="101"/>
        <v>144.41</v>
      </c>
      <c r="O452" s="185">
        <f t="shared" si="98"/>
        <v>126.93</v>
      </c>
      <c r="P452" s="221">
        <f t="shared" si="99"/>
        <v>105.1</v>
      </c>
    </row>
    <row r="453" spans="1:16">
      <c r="C453" s="178">
        <v>9</v>
      </c>
      <c r="D453" s="184">
        <f>ROUND(G453*1.6566,2)</f>
        <v>178.12</v>
      </c>
      <c r="E453" s="185">
        <f>ROUND(G453*1.374,2)</f>
        <v>147.72999999999999</v>
      </c>
      <c r="F453" s="185">
        <f>ROUND(G453*1.2077,2)</f>
        <v>129.85</v>
      </c>
      <c r="G453" s="171">
        <v>107.52</v>
      </c>
      <c r="J453" s="167"/>
      <c r="L453" s="178">
        <v>9</v>
      </c>
      <c r="M453" s="184">
        <f t="shared" si="100"/>
        <v>174.33</v>
      </c>
      <c r="N453" s="185">
        <f t="shared" si="101"/>
        <v>144.59</v>
      </c>
      <c r="O453" s="185">
        <f t="shared" si="98"/>
        <v>127.09</v>
      </c>
      <c r="P453" s="221">
        <f t="shared" si="99"/>
        <v>105.23</v>
      </c>
    </row>
    <row r="454" spans="1:16">
      <c r="C454" s="178">
        <v>10</v>
      </c>
      <c r="D454" s="184">
        <f>ROUND(G454*1.6566,2)</f>
        <v>179.34</v>
      </c>
      <c r="E454" s="185">
        <f>ROUND(G454*1.374,2)</f>
        <v>148.75</v>
      </c>
      <c r="F454" s="185">
        <f>ROUND(G454*1.2077,2)</f>
        <v>130.75</v>
      </c>
      <c r="G454" s="171">
        <v>108.26</v>
      </c>
      <c r="J454" s="167"/>
      <c r="L454" s="178">
        <v>10</v>
      </c>
      <c r="M454" s="184">
        <f t="shared" si="100"/>
        <v>174.84</v>
      </c>
      <c r="N454" s="185">
        <f t="shared" si="101"/>
        <v>145.01</v>
      </c>
      <c r="O454" s="185">
        <f t="shared" si="98"/>
        <v>127.46</v>
      </c>
      <c r="P454" s="221">
        <f t="shared" si="99"/>
        <v>105.54</v>
      </c>
    </row>
    <row r="455" spans="1:16">
      <c r="C455" s="178">
        <v>11</v>
      </c>
      <c r="D455" s="184">
        <f>ROUND(G455*1.6566,2)</f>
        <v>179.71</v>
      </c>
      <c r="E455" s="185">
        <f>ROUND(G455*1.374,2)</f>
        <v>149.05000000000001</v>
      </c>
      <c r="F455" s="185">
        <f>ROUND(G455*1.2077,2)</f>
        <v>131.01</v>
      </c>
      <c r="G455" s="171">
        <v>108.48</v>
      </c>
      <c r="J455" s="167"/>
      <c r="L455" s="178">
        <v>11</v>
      </c>
      <c r="M455" s="184">
        <f t="shared" si="100"/>
        <v>175.25</v>
      </c>
      <c r="N455" s="185">
        <f t="shared" si="101"/>
        <v>145.35</v>
      </c>
      <c r="O455" s="185">
        <f t="shared" si="98"/>
        <v>127.76</v>
      </c>
      <c r="P455" s="221">
        <f t="shared" si="99"/>
        <v>105.79</v>
      </c>
    </row>
    <row r="456" spans="1:16">
      <c r="C456" s="178">
        <v>12</v>
      </c>
      <c r="D456" s="184"/>
      <c r="E456" s="185"/>
      <c r="F456" s="185"/>
      <c r="G456" s="171"/>
      <c r="J456" s="167"/>
      <c r="L456" s="178">
        <v>12</v>
      </c>
      <c r="M456" s="184">
        <f t="shared" si="100"/>
        <v>175.47</v>
      </c>
      <c r="N456" s="185">
        <f t="shared" si="101"/>
        <v>145.53</v>
      </c>
      <c r="O456" s="185">
        <f t="shared" si="98"/>
        <v>127.92</v>
      </c>
      <c r="P456" s="221">
        <f t="shared" si="99"/>
        <v>105.92</v>
      </c>
    </row>
    <row r="457" spans="1:16">
      <c r="B457" s="163" t="s">
        <v>242</v>
      </c>
      <c r="D457" s="181">
        <f>AVERAGE(D445:D456)</f>
        <v>177.6718181818182</v>
      </c>
      <c r="E457" s="181">
        <f>AVERAGE(E445:E456)</f>
        <v>147.36181818181817</v>
      </c>
      <c r="F457" s="181">
        <f>AVERAGE(F445:F456)</f>
        <v>129.52727272727273</v>
      </c>
      <c r="G457" s="187">
        <f>AVERAGE(G445:G456)</f>
        <v>107.25090909090909</v>
      </c>
      <c r="J457" s="167"/>
      <c r="K457" s="163" t="s">
        <v>242</v>
      </c>
      <c r="M457" s="181">
        <f>AVERAGE(M445:M456)</f>
        <v>173.77499999999998</v>
      </c>
      <c r="N457" s="181">
        <f>AVERAGE(N445:N456)</f>
        <v>144.12833333333333</v>
      </c>
      <c r="O457" s="181">
        <f>AVERAGE(O445:O456)</f>
        <v>126.685</v>
      </c>
      <c r="P457" s="181">
        <f>AVERAGE(P445:P456)</f>
        <v>104.89666666666669</v>
      </c>
    </row>
    <row r="463" spans="1:16">
      <c r="A463" s="163"/>
    </row>
    <row r="481" spans="1:1">
      <c r="A481" s="163"/>
    </row>
    <row r="499" spans="1:1">
      <c r="A499" s="163"/>
    </row>
    <row r="517" spans="1:1">
      <c r="A517" s="163"/>
    </row>
    <row r="535" spans="1:1">
      <c r="A535" s="163"/>
    </row>
    <row r="553" spans="1:1">
      <c r="A553" s="163"/>
    </row>
    <row r="571" spans="1:1">
      <c r="A571" s="163"/>
    </row>
    <row r="589" spans="1:1">
      <c r="A589" s="163"/>
    </row>
    <row r="607" spans="1:1">
      <c r="A607" s="163"/>
    </row>
    <row r="625" spans="1:1">
      <c r="A625" s="163"/>
    </row>
    <row r="643" spans="1:1">
      <c r="A643" s="163"/>
    </row>
    <row r="661" spans="1:1">
      <c r="A661" s="163"/>
    </row>
    <row r="679" spans="1:1">
      <c r="A679" s="163"/>
    </row>
    <row r="697" spans="1:1">
      <c r="A697" s="163"/>
    </row>
    <row r="715" spans="1:1">
      <c r="A715" s="163"/>
    </row>
    <row r="733" spans="1:1">
      <c r="A733" s="163"/>
    </row>
    <row r="751" spans="1:1">
      <c r="A751" s="163"/>
    </row>
    <row r="769" spans="1:1">
      <c r="A769" s="163"/>
    </row>
    <row r="787" spans="1:1">
      <c r="A787" s="163"/>
    </row>
    <row r="805" spans="1:1">
      <c r="A805" s="163"/>
    </row>
    <row r="823" spans="1:1">
      <c r="A823" s="163"/>
    </row>
    <row r="841" spans="1:1">
      <c r="A841" s="163"/>
    </row>
    <row r="859" spans="1:1">
      <c r="A859" s="163"/>
    </row>
    <row r="877" spans="1:1">
      <c r="A877" s="163"/>
    </row>
    <row r="895" spans="1:1">
      <c r="A895" s="163"/>
    </row>
    <row r="913" spans="1:1">
      <c r="A913" s="163"/>
    </row>
    <row r="931" spans="1:1">
      <c r="A931" s="163"/>
    </row>
    <row r="949" spans="1:1">
      <c r="A949" s="163"/>
    </row>
    <row r="967" spans="1:1">
      <c r="A967" s="163"/>
    </row>
    <row r="985" spans="1:1">
      <c r="A985" s="163"/>
    </row>
    <row r="1003" spans="1:1">
      <c r="A1003" s="163"/>
    </row>
    <row r="1021" spans="1:1">
      <c r="A1021" s="163"/>
    </row>
    <row r="1039" spans="1:1">
      <c r="A1039" s="163"/>
    </row>
    <row r="1057" spans="1:1">
      <c r="A1057" s="163"/>
    </row>
    <row r="1075" spans="1:1">
      <c r="A1075" s="163"/>
    </row>
    <row r="1093" spans="1:1">
      <c r="A1093" s="163"/>
    </row>
    <row r="1111" spans="1:1">
      <c r="A1111" s="163"/>
    </row>
    <row r="1129" spans="1:1">
      <c r="A1129" s="163"/>
    </row>
    <row r="1147" spans="1:1">
      <c r="A1147" s="163"/>
    </row>
    <row r="1165" spans="1:1">
      <c r="A1165" s="163"/>
    </row>
    <row r="1183" spans="1:1">
      <c r="A1183" s="163"/>
    </row>
    <row r="1201" spans="1:1">
      <c r="A1201" s="163"/>
    </row>
    <row r="1219" spans="1:1">
      <c r="A1219" s="163"/>
    </row>
    <row r="1237" spans="1:1">
      <c r="A1237" s="163"/>
    </row>
    <row r="1255" spans="1:1">
      <c r="A1255" s="163"/>
    </row>
    <row r="1273" spans="1:1">
      <c r="A1273" s="163"/>
    </row>
    <row r="1291" spans="1:1">
      <c r="A1291" s="163"/>
    </row>
    <row r="1309" spans="1:1">
      <c r="A1309" s="163"/>
    </row>
    <row r="1327" spans="1:1">
      <c r="A1327" s="163"/>
    </row>
    <row r="1342" spans="1:1">
      <c r="A1342" s="188"/>
    </row>
    <row r="1343" spans="1:1">
      <c r="A1343" s="188"/>
    </row>
    <row r="1344" spans="1:1">
      <c r="A1344" s="188"/>
    </row>
    <row r="1345" spans="1:1">
      <c r="A1345" s="163"/>
    </row>
    <row r="1360" spans="1:1">
      <c r="A1360" s="188"/>
    </row>
    <row r="1361" spans="1:1">
      <c r="A1361" s="188"/>
    </row>
    <row r="1362" spans="1:1">
      <c r="A1362" s="188"/>
    </row>
    <row r="1364" spans="1:1">
      <c r="A1364" s="163"/>
    </row>
    <row r="1383" spans="1:1">
      <c r="A1383" s="163"/>
    </row>
    <row r="1402" spans="1:1">
      <c r="A1402" s="163"/>
    </row>
    <row r="1421" spans="1:1">
      <c r="A1421" s="163"/>
    </row>
    <row r="1440" spans="1:1">
      <c r="A1440" s="163"/>
    </row>
    <row r="1459" spans="1:1">
      <c r="A1459" s="163"/>
    </row>
  </sheetData>
  <mergeCells count="39">
    <mergeCell ref="A443:B443"/>
    <mergeCell ref="J443:K443"/>
    <mergeCell ref="Q395:Q413"/>
    <mergeCell ref="Q414:Q431"/>
    <mergeCell ref="J337:K337"/>
    <mergeCell ref="J355:K355"/>
    <mergeCell ref="J373:K373"/>
    <mergeCell ref="J391:K391"/>
    <mergeCell ref="J409:K409"/>
    <mergeCell ref="J427:K427"/>
    <mergeCell ref="A355:B355"/>
    <mergeCell ref="A373:B373"/>
    <mergeCell ref="A391:B391"/>
    <mergeCell ref="A409:B409"/>
    <mergeCell ref="A427:B427"/>
    <mergeCell ref="A6:L6"/>
    <mergeCell ref="A8:L8"/>
    <mergeCell ref="A9:L9"/>
    <mergeCell ref="A10:L10"/>
    <mergeCell ref="A12:L12"/>
    <mergeCell ref="A13:B13"/>
    <mergeCell ref="A31:B31"/>
    <mergeCell ref="A49:B49"/>
    <mergeCell ref="A67:B67"/>
    <mergeCell ref="A85:B85"/>
    <mergeCell ref="A103:B103"/>
    <mergeCell ref="A121:B121"/>
    <mergeCell ref="A337:B337"/>
    <mergeCell ref="A139:B139"/>
    <mergeCell ref="A157:B157"/>
    <mergeCell ref="A175:B175"/>
    <mergeCell ref="A193:B193"/>
    <mergeCell ref="A211:B211"/>
    <mergeCell ref="A229:B229"/>
    <mergeCell ref="A247:B247"/>
    <mergeCell ref="A265:B265"/>
    <mergeCell ref="A283:B283"/>
    <mergeCell ref="A301:B301"/>
    <mergeCell ref="A319:B319"/>
  </mergeCells>
  <pageMargins left="0.78740157480314965" right="0.78740157480314965" top="1.3385826771653544" bottom="0.98425196850393704" header="0.51181102362204722" footer="0.51181102362204722"/>
  <pageSetup paperSize="9" scale="92" fitToHeight="0" orientation="portrait"/>
  <headerFooter alignWithMargins="0">
    <oddHeader>&amp;C&amp;"Arial,Standaard"Indice Santé - Gezondheidsindex&amp;RPag. &amp;P/&amp;N</oddHeader>
    <oddFooter>&amp;LFOD ECONOMIE&amp;RSPF ECONOMIE</oddFooter>
  </headerFooter>
  <rowBreaks count="8" manualBreakCount="8">
    <brk id="12" max="16383" man="1"/>
    <brk id="66" max="11" man="1"/>
    <brk id="120" max="11" man="1"/>
    <brk id="174" max="11" man="1"/>
    <brk id="228" max="11" man="1"/>
    <brk id="282" max="11" man="1"/>
    <brk id="336" max="11" man="1"/>
    <brk id="390" max="11"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8</vt:i4>
      </vt:variant>
      <vt:variant>
        <vt:lpstr>Plages nommées</vt:lpstr>
      </vt:variant>
      <vt:variant>
        <vt:i4>10</vt:i4>
      </vt:variant>
    </vt:vector>
  </HeadingPairs>
  <TitlesOfParts>
    <vt:vector size="18" baseType="lpstr">
      <vt:lpstr>Chiffres utiles 2013-2019</vt:lpstr>
      <vt:lpstr>Volontariat - montants</vt:lpstr>
      <vt:lpstr>Frais parcours fonctionnaires</vt:lpstr>
      <vt:lpstr>Frais de mission CP 329.02</vt:lpstr>
      <vt:lpstr>Plafond déplacemt dom-trav .03</vt:lpstr>
      <vt:lpstr>RMMG SCP 329.03</vt:lpstr>
      <vt:lpstr>Indices pivot</vt:lpstr>
      <vt:lpstr>health index</vt:lpstr>
      <vt:lpstr>'Chiffres utiles 2013-2019'!_ftnref1</vt:lpstr>
      <vt:lpstr>Frais_mission_329.02_auto</vt:lpstr>
      <vt:lpstr>Frais_mission_329.02_cyclo</vt:lpstr>
      <vt:lpstr>Frais_parcours_fonctionnaires</vt:lpstr>
      <vt:lpstr>'Chiffres utiles 2013-2019'!Impression_des_titres</vt:lpstr>
      <vt:lpstr>Index_novembre_x_1</vt:lpstr>
      <vt:lpstr>Plafond_dom_trav_329.03</vt:lpstr>
      <vt:lpstr>RMMMG_329.03</vt:lpstr>
      <vt:lpstr>Volontariat</vt:lpstr>
      <vt:lpstr>'health 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Sooky Rochette</cp:lastModifiedBy>
  <cp:lastPrinted>2013-02-07T15:03:20Z</cp:lastPrinted>
  <dcterms:created xsi:type="dcterms:W3CDTF">2007-12-13T13:02:30Z</dcterms:created>
  <dcterms:modified xsi:type="dcterms:W3CDTF">2019-09-10T09:43:03Z</dcterms:modified>
</cp:coreProperties>
</file>